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tevemp\Downloads\"/>
    </mc:Choice>
  </mc:AlternateContent>
  <xr:revisionPtr revIDLastSave="0" documentId="8_{E29923C3-6182-4413-867D-A4FA97AE56B3}" xr6:coauthVersionLast="47" xr6:coauthVersionMax="47" xr10:uidLastSave="{00000000-0000-0000-0000-000000000000}"/>
  <workbookProtection workbookAlgorithmName="SHA-512" workbookHashValue="XRsVx6fGw9tPU2YrWUTavMxfu/c1mX/RKPs5tngR/z3KbxG0XGK5mrVYprB6nP+AOi3yHtNLOWPeVwz5SdUxHA==" workbookSaltValue="eBVQJggg0XJdMaaVPYCwtg==" workbookSpinCount="100000" lockStructure="1"/>
  <bookViews>
    <workbookView xWindow="-110" yWindow="-110" windowWidth="19420" windowHeight="11500" firstSheet="1" activeTab="3" xr2:uid="{00000000-000D-0000-FFFF-FFFF00000000}"/>
  </bookViews>
  <sheets>
    <sheet name="Macro" sheetId="4" state="hidden" r:id="rId1"/>
    <sheet name="haltes" sheetId="2" r:id="rId2"/>
    <sheet name="fietspaden" sheetId="1" r:id="rId3"/>
    <sheet name="duurzaam veilig" sheetId="3" r:id="rId4"/>
  </sheets>
  <definedNames>
    <definedName name="_xlnm.Print_Area" localSheetId="3">'duurzaam veilig'!$B$2:$O$104</definedName>
    <definedName name="_xlnm.Print_Area" localSheetId="2">fietspaden!$B$2:$O$92</definedName>
    <definedName name="_xlnm.Print_Area" localSheetId="1">haltes!$B$2:$O$75</definedName>
    <definedName name="Index_tov_2018">fietspaden!$R$3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3" l="1"/>
  <c r="O51" i="2"/>
  <c r="H51" i="2"/>
  <c r="H52" i="2" s="1"/>
  <c r="H73" i="2"/>
  <c r="Z48" i="2"/>
  <c r="Z41" i="2"/>
  <c r="Z40" i="2"/>
  <c r="W45" i="2"/>
  <c r="W41" i="2"/>
  <c r="W40" i="2"/>
  <c r="T41" i="2"/>
  <c r="T40" i="2"/>
  <c r="T31" i="2"/>
  <c r="T30" i="2"/>
  <c r="T24" i="2"/>
  <c r="T23" i="2"/>
  <c r="T22" i="2"/>
  <c r="T21" i="2"/>
  <c r="T20" i="2"/>
  <c r="T18" i="2"/>
  <c r="T16" i="2"/>
  <c r="T15" i="2"/>
  <c r="T14" i="2"/>
  <c r="T11" i="2"/>
  <c r="T10" i="2"/>
  <c r="T9" i="2"/>
  <c r="V45" i="2"/>
  <c r="Y48" i="2"/>
  <c r="Y41" i="2"/>
  <c r="Y40" i="2"/>
  <c r="V41" i="2"/>
  <c r="V40" i="2"/>
  <c r="S41" i="2"/>
  <c r="S40" i="2"/>
  <c r="S31" i="2"/>
  <c r="S30" i="2"/>
  <c r="S24" i="2"/>
  <c r="S23" i="2"/>
  <c r="S22" i="2"/>
  <c r="S21" i="2"/>
  <c r="S20" i="2"/>
  <c r="S18" i="2"/>
  <c r="S16" i="2"/>
  <c r="S15" i="2"/>
  <c r="S14" i="2"/>
  <c r="S11" i="2"/>
  <c r="S10" i="2"/>
  <c r="S9" i="2"/>
  <c r="F51" i="1"/>
  <c r="F50" i="1"/>
  <c r="F47" i="3"/>
  <c r="S47" i="3" s="1"/>
  <c r="F46" i="3"/>
  <c r="S46" i="3" s="1"/>
  <c r="F45" i="3"/>
  <c r="S45" i="3" s="1"/>
  <c r="F38" i="3"/>
  <c r="S38" i="3" s="1"/>
  <c r="R45" i="3"/>
  <c r="R3" i="3"/>
  <c r="S3" i="2"/>
  <c r="I41" i="2"/>
  <c r="L41" i="2"/>
  <c r="L40" i="2"/>
  <c r="I40" i="2"/>
  <c r="L48" i="2"/>
  <c r="I45" i="2"/>
  <c r="F43" i="2"/>
  <c r="F41" i="2"/>
  <c r="F40" i="2"/>
  <c r="F31" i="2"/>
  <c r="F30" i="2"/>
  <c r="F24" i="2"/>
  <c r="F23" i="2"/>
  <c r="F22" i="2"/>
  <c r="F21" i="2"/>
  <c r="F20" i="2"/>
  <c r="F18" i="2"/>
  <c r="F15" i="2"/>
  <c r="F14" i="2"/>
  <c r="F11" i="2"/>
  <c r="F10" i="2"/>
  <c r="F9" i="2"/>
  <c r="F34" i="3"/>
  <c r="S34" i="3" s="1"/>
  <c r="R16" i="2"/>
  <c r="R15" i="2"/>
  <c r="L42" i="1"/>
  <c r="L41" i="1"/>
  <c r="L40" i="1"/>
  <c r="AA40" i="1" s="1"/>
  <c r="L39" i="1"/>
  <c r="I39" i="1"/>
  <c r="W39" i="1" s="1"/>
  <c r="S78" i="3"/>
  <c r="S77" i="3"/>
  <c r="S76" i="3"/>
  <c r="S74" i="3"/>
  <c r="S73" i="3"/>
  <c r="S72" i="3"/>
  <c r="S71" i="3"/>
  <c r="S69" i="3"/>
  <c r="S68" i="3"/>
  <c r="S40" i="3"/>
  <c r="S39" i="3"/>
  <c r="S36" i="3"/>
  <c r="S35" i="3"/>
  <c r="F40" i="3"/>
  <c r="F39" i="3"/>
  <c r="F36" i="3"/>
  <c r="F35" i="3"/>
  <c r="F18" i="3"/>
  <c r="S18" i="3" s="1"/>
  <c r="F17" i="3"/>
  <c r="S17" i="3" s="1"/>
  <c r="F16" i="3"/>
  <c r="S16" i="3" s="1"/>
  <c r="F14" i="3"/>
  <c r="S14" i="3" s="1"/>
  <c r="F13" i="3"/>
  <c r="S13" i="3" s="1"/>
  <c r="F12" i="3"/>
  <c r="S12" i="3" s="1"/>
  <c r="F10" i="3"/>
  <c r="S10" i="3" s="1"/>
  <c r="F9" i="3"/>
  <c r="S9" i="3" s="1"/>
  <c r="F8" i="3"/>
  <c r="S8" i="3" s="1"/>
  <c r="S22" i="3"/>
  <c r="S21" i="3"/>
  <c r="S20" i="3"/>
  <c r="Y9" i="1"/>
  <c r="Z9" i="1" s="1"/>
  <c r="AA9" i="1" s="1"/>
  <c r="Y8" i="1"/>
  <c r="Z8" i="1" s="1"/>
  <c r="AA8" i="1" s="1"/>
  <c r="Y22" i="1"/>
  <c r="Y21" i="1"/>
  <c r="Z21" i="1" s="1"/>
  <c r="AA21" i="1" s="1"/>
  <c r="Y20" i="1"/>
  <c r="Z20" i="1" s="1"/>
  <c r="AA20" i="1" s="1"/>
  <c r="Y19" i="1"/>
  <c r="Z19" i="1" s="1"/>
  <c r="AA19" i="1" s="1"/>
  <c r="Y16" i="1"/>
  <c r="Z16" i="1" s="1"/>
  <c r="AA16" i="1" s="1"/>
  <c r="Y15" i="1"/>
  <c r="Z15" i="1" s="1"/>
  <c r="AA15" i="1" s="1"/>
  <c r="Y14" i="1"/>
  <c r="Y13" i="1"/>
  <c r="Z13" i="1" s="1"/>
  <c r="AA13" i="1" s="1"/>
  <c r="AA11" i="1"/>
  <c r="Z22" i="1"/>
  <c r="AA22" i="1" s="1"/>
  <c r="Z14" i="1"/>
  <c r="AA14" i="1" s="1"/>
  <c r="L22" i="1"/>
  <c r="L21" i="1"/>
  <c r="L20" i="1"/>
  <c r="L19" i="1"/>
  <c r="L16" i="1"/>
  <c r="L15" i="1"/>
  <c r="L14" i="1"/>
  <c r="L13" i="1"/>
  <c r="L9" i="1"/>
  <c r="L8" i="1"/>
  <c r="I8" i="1"/>
  <c r="W8" i="1" s="1"/>
  <c r="Z42" i="1"/>
  <c r="Z41" i="1"/>
  <c r="Z40" i="1"/>
  <c r="Z39" i="1"/>
  <c r="AA48" i="1"/>
  <c r="AA50" i="1"/>
  <c r="AA51" i="1"/>
  <c r="AA54" i="1"/>
  <c r="AA56" i="1"/>
  <c r="AA66" i="1"/>
  <c r="AA65" i="1"/>
  <c r="AA64" i="1"/>
  <c r="AA62" i="1"/>
  <c r="AA61" i="1"/>
  <c r="AA60" i="1"/>
  <c r="AA59" i="1"/>
  <c r="Z48" i="1"/>
  <c r="Z50" i="1"/>
  <c r="Z51" i="1"/>
  <c r="Z54" i="1"/>
  <c r="Z56" i="1"/>
  <c r="Z66" i="1"/>
  <c r="Z65" i="1"/>
  <c r="Z64" i="1"/>
  <c r="Z62" i="1"/>
  <c r="Z61" i="1"/>
  <c r="Z60" i="1"/>
  <c r="Z59" i="1"/>
  <c r="L54" i="1"/>
  <c r="L48" i="1" s="1"/>
  <c r="L50" i="1"/>
  <c r="Y48" i="1"/>
  <c r="L66" i="1"/>
  <c r="L65" i="1"/>
  <c r="L64" i="1"/>
  <c r="L62" i="1"/>
  <c r="L61" i="1"/>
  <c r="L60" i="1"/>
  <c r="L59" i="1"/>
  <c r="L56" i="1"/>
  <c r="L51" i="1"/>
  <c r="I50" i="1"/>
  <c r="R78" i="3"/>
  <c r="R77" i="3"/>
  <c r="R76" i="3"/>
  <c r="R74" i="3"/>
  <c r="R73" i="3"/>
  <c r="R72" i="3"/>
  <c r="R71" i="3"/>
  <c r="R69" i="3"/>
  <c r="R68" i="3"/>
  <c r="R65" i="3"/>
  <c r="R64" i="3"/>
  <c r="R47" i="3"/>
  <c r="R46" i="3"/>
  <c r="R40" i="3"/>
  <c r="R39" i="3"/>
  <c r="R38" i="3"/>
  <c r="R36" i="3"/>
  <c r="R35" i="3"/>
  <c r="R34" i="3"/>
  <c r="R18" i="3"/>
  <c r="R17" i="3"/>
  <c r="R16" i="3"/>
  <c r="R14" i="3"/>
  <c r="R13" i="3"/>
  <c r="R12" i="3"/>
  <c r="R10" i="3"/>
  <c r="R9" i="3"/>
  <c r="R8" i="3"/>
  <c r="F8" i="1"/>
  <c r="S8" i="1" s="1"/>
  <c r="W57" i="1"/>
  <c r="W56" i="1"/>
  <c r="W54" i="1"/>
  <c r="W51" i="1"/>
  <c r="W50" i="1"/>
  <c r="W42" i="1"/>
  <c r="W66" i="1"/>
  <c r="W65" i="1"/>
  <c r="W64" i="1"/>
  <c r="W62" i="1"/>
  <c r="W61" i="1"/>
  <c r="W60" i="1"/>
  <c r="W59" i="1"/>
  <c r="W41" i="1"/>
  <c r="W40" i="1"/>
  <c r="W33" i="1"/>
  <c r="W32" i="1"/>
  <c r="W31" i="1"/>
  <c r="W29" i="1"/>
  <c r="W28" i="1"/>
  <c r="W27" i="1"/>
  <c r="W22" i="1"/>
  <c r="W21" i="1"/>
  <c r="W20" i="1"/>
  <c r="W19" i="1"/>
  <c r="W16" i="1"/>
  <c r="W15" i="1"/>
  <c r="W14" i="1"/>
  <c r="W13" i="1"/>
  <c r="W11" i="1"/>
  <c r="W9" i="1"/>
  <c r="S48" i="1"/>
  <c r="R48" i="1"/>
  <c r="S66" i="1"/>
  <c r="S65" i="1"/>
  <c r="S64" i="1"/>
  <c r="S62" i="1"/>
  <c r="S61" i="1"/>
  <c r="S60" i="1"/>
  <c r="S59" i="1"/>
  <c r="S57" i="1"/>
  <c r="S56" i="1"/>
  <c r="S54" i="1"/>
  <c r="S46" i="1"/>
  <c r="S42" i="1"/>
  <c r="S41" i="1"/>
  <c r="S40" i="1"/>
  <c r="S39" i="1"/>
  <c r="S23" i="1"/>
  <c r="S22" i="1"/>
  <c r="S21" i="1"/>
  <c r="S20" i="1"/>
  <c r="S19" i="1"/>
  <c r="S17" i="1"/>
  <c r="S16" i="1"/>
  <c r="S15" i="1"/>
  <c r="S14" i="1"/>
  <c r="S13" i="1"/>
  <c r="S10" i="1"/>
  <c r="S9" i="1"/>
  <c r="I42" i="1"/>
  <c r="I41" i="1"/>
  <c r="I40" i="1"/>
  <c r="F42" i="1"/>
  <c r="F41" i="1"/>
  <c r="F40" i="1"/>
  <c r="F39" i="1"/>
  <c r="F10" i="1"/>
  <c r="F9" i="1"/>
  <c r="I57" i="1"/>
  <c r="I56" i="1"/>
  <c r="F56" i="1"/>
  <c r="I66" i="1"/>
  <c r="I65" i="1"/>
  <c r="I64" i="1"/>
  <c r="I62" i="1"/>
  <c r="I61" i="1"/>
  <c r="I60" i="1"/>
  <c r="I59" i="1"/>
  <c r="AA42" i="1" l="1"/>
  <c r="AA41" i="1"/>
  <c r="AA39" i="1"/>
  <c r="I54" i="1"/>
  <c r="F66" i="1"/>
  <c r="F65" i="1"/>
  <c r="F64" i="1"/>
  <c r="F62" i="1"/>
  <c r="F61" i="1"/>
  <c r="F60" i="1"/>
  <c r="F59" i="1"/>
  <c r="F71" i="3" s="1"/>
  <c r="F57" i="1"/>
  <c r="F69" i="3" s="1"/>
  <c r="F68" i="3"/>
  <c r="F54" i="1"/>
  <c r="F48" i="1" s="1"/>
  <c r="F72" i="3"/>
  <c r="F64" i="3"/>
  <c r="S64" i="3" s="1"/>
  <c r="V57" i="1"/>
  <c r="V56" i="1"/>
  <c r="V54" i="1"/>
  <c r="R66" i="1"/>
  <c r="R65" i="1"/>
  <c r="R64" i="1"/>
  <c r="R62" i="1"/>
  <c r="R61" i="1"/>
  <c r="R60" i="1"/>
  <c r="U60" i="1" s="1"/>
  <c r="R59" i="1"/>
  <c r="R54" i="1"/>
  <c r="R57" i="1"/>
  <c r="R56" i="1"/>
  <c r="U48" i="1"/>
  <c r="V50" i="1"/>
  <c r="V51" i="1"/>
  <c r="R51" i="1"/>
  <c r="S51" i="1" s="1"/>
  <c r="R50" i="1"/>
  <c r="S50" i="1" s="1"/>
  <c r="I51" i="1"/>
  <c r="R46" i="1"/>
  <c r="F46" i="1"/>
  <c r="F23" i="1"/>
  <c r="V42" i="1"/>
  <c r="V41" i="1"/>
  <c r="V40" i="1"/>
  <c r="V39" i="1"/>
  <c r="R42" i="1"/>
  <c r="R41" i="1"/>
  <c r="R40" i="1"/>
  <c r="R39" i="1"/>
  <c r="I28" i="1"/>
  <c r="I29" i="1"/>
  <c r="I31" i="1"/>
  <c r="I32" i="1"/>
  <c r="I33" i="1"/>
  <c r="K31" i="1"/>
  <c r="I27" i="1"/>
  <c r="V33" i="1"/>
  <c r="V32" i="1"/>
  <c r="V31" i="1"/>
  <c r="V29" i="1"/>
  <c r="V28" i="1"/>
  <c r="V27" i="1"/>
  <c r="V11" i="1"/>
  <c r="V9" i="1"/>
  <c r="V8" i="1"/>
  <c r="V16" i="1"/>
  <c r="V15" i="1"/>
  <c r="V14" i="1"/>
  <c r="V13" i="1"/>
  <c r="V22" i="1"/>
  <c r="V21" i="1"/>
  <c r="V20" i="1"/>
  <c r="V19" i="1"/>
  <c r="R23" i="1"/>
  <c r="R22" i="1"/>
  <c r="R21" i="1"/>
  <c r="R20" i="1"/>
  <c r="R19" i="1"/>
  <c r="R17" i="1"/>
  <c r="R16" i="1"/>
  <c r="R15" i="1"/>
  <c r="R14" i="1"/>
  <c r="R13" i="1"/>
  <c r="R10" i="1"/>
  <c r="R9" i="1"/>
  <c r="R8" i="1"/>
  <c r="I22" i="1"/>
  <c r="I21" i="1"/>
  <c r="I20" i="1"/>
  <c r="I19" i="1"/>
  <c r="I16" i="1"/>
  <c r="I15" i="1"/>
  <c r="I14" i="1"/>
  <c r="I13" i="1"/>
  <c r="I11" i="1"/>
  <c r="I9" i="1"/>
  <c r="F13" i="1"/>
  <c r="H13" i="1" s="1"/>
  <c r="F14" i="1"/>
  <c r="F15" i="1"/>
  <c r="F16" i="1"/>
  <c r="F17" i="1"/>
  <c r="F19" i="1"/>
  <c r="H19" i="1" s="1"/>
  <c r="F20" i="1"/>
  <c r="H20" i="1" s="1"/>
  <c r="F21" i="1"/>
  <c r="F22" i="1"/>
  <c r="H14" i="1"/>
  <c r="H8" i="1"/>
  <c r="K8" i="1"/>
  <c r="U66" i="1"/>
  <c r="U65" i="1"/>
  <c r="U64" i="1"/>
  <c r="U62" i="1"/>
  <c r="U61" i="1"/>
  <c r="U59" i="1"/>
  <c r="H9" i="1"/>
  <c r="R43" i="1"/>
  <c r="Q48" i="1"/>
  <c r="F65" i="3"/>
  <c r="S65" i="3" s="1"/>
  <c r="F32" i="3"/>
  <c r="H34" i="3"/>
  <c r="Q32" i="3"/>
  <c r="Q8" i="3"/>
  <c r="F78" i="3" l="1"/>
  <c r="F77" i="3"/>
  <c r="F76" i="3"/>
  <c r="F74" i="3"/>
  <c r="F73" i="3"/>
  <c r="R32" i="3"/>
  <c r="H43" i="2" l="1"/>
  <c r="H41" i="2"/>
  <c r="H40" i="2"/>
  <c r="H39" i="2"/>
  <c r="H31" i="2"/>
  <c r="H30" i="2"/>
  <c r="O83" i="1" l="1"/>
  <c r="O82" i="1"/>
  <c r="O95" i="3" l="1"/>
  <c r="O94" i="3"/>
  <c r="O93" i="3"/>
  <c r="H47" i="3"/>
  <c r="H46" i="3"/>
  <c r="H45" i="3"/>
  <c r="H40" i="3"/>
  <c r="H39" i="3"/>
  <c r="H38" i="3"/>
  <c r="H36" i="3"/>
  <c r="H35" i="3"/>
  <c r="H18" i="3"/>
  <c r="H17" i="3"/>
  <c r="H16" i="3"/>
  <c r="H13" i="3"/>
  <c r="O13" i="3" s="1"/>
  <c r="H10" i="3"/>
  <c r="H9" i="3"/>
  <c r="O8" i="3"/>
  <c r="N4" i="3"/>
  <c r="N3" i="3"/>
  <c r="N2" i="3"/>
  <c r="H24" i="2"/>
  <c r="H23" i="2"/>
  <c r="H22" i="2"/>
  <c r="H21" i="2"/>
  <c r="H20" i="2"/>
  <c r="H18" i="2"/>
  <c r="H14" i="2"/>
  <c r="O66" i="2"/>
  <c r="O65" i="2"/>
  <c r="O64" i="2"/>
  <c r="N4" i="2"/>
  <c r="N3" i="2"/>
  <c r="N2" i="2"/>
  <c r="H12" i="3" l="1"/>
  <c r="O12" i="3" s="1"/>
  <c r="H14" i="3"/>
  <c r="O14" i="3" s="1"/>
  <c r="H11" i="2" l="1"/>
  <c r="H9" i="2" l="1"/>
  <c r="H10" i="2"/>
  <c r="L78" i="3" l="1"/>
  <c r="L77" i="3"/>
  <c r="L76" i="3"/>
  <c r="L74" i="3"/>
  <c r="L73" i="3"/>
  <c r="L72" i="3"/>
  <c r="L71" i="3"/>
  <c r="H74" i="3"/>
  <c r="H73" i="3"/>
  <c r="L68" i="3"/>
  <c r="I69" i="3"/>
  <c r="L65" i="3"/>
  <c r="I65" i="3"/>
  <c r="H65" i="3"/>
  <c r="N66" i="1" l="1"/>
  <c r="N65" i="1"/>
  <c r="N64" i="1"/>
  <c r="N62" i="1"/>
  <c r="N61" i="1"/>
  <c r="N60" i="1"/>
  <c r="N59" i="1"/>
  <c r="N56" i="1"/>
  <c r="K57" i="1"/>
  <c r="H62" i="1"/>
  <c r="H61" i="1"/>
  <c r="N51" i="1"/>
  <c r="K51" i="1"/>
  <c r="H51" i="1"/>
  <c r="K19" i="1"/>
  <c r="K13" i="1"/>
  <c r="N2" i="1"/>
  <c r="N3" i="1"/>
  <c r="N4" i="1"/>
  <c r="H54" i="1" l="1"/>
  <c r="K50" i="1" l="1"/>
  <c r="I64" i="3"/>
  <c r="H57" i="1"/>
  <c r="H69" i="3"/>
  <c r="N50" i="1"/>
  <c r="L64" i="3"/>
  <c r="H56" i="1"/>
  <c r="H68" i="3"/>
  <c r="H50" i="1"/>
  <c r="H64" i="3"/>
  <c r="K56" i="1"/>
  <c r="I68" i="3"/>
  <c r="H66" i="1" l="1"/>
  <c r="H78" i="3"/>
  <c r="I78" i="3"/>
  <c r="H65" i="1" l="1"/>
  <c r="H77" i="3"/>
  <c r="I77" i="3"/>
  <c r="H60" i="1"/>
  <c r="H72" i="3"/>
  <c r="H64" i="1" l="1"/>
  <c r="H76" i="3"/>
  <c r="K54" i="1"/>
  <c r="K16" i="1" l="1"/>
  <c r="K28" i="1"/>
  <c r="K27" i="1" l="1"/>
  <c r="N54" i="1" l="1"/>
  <c r="K15" i="1" l="1"/>
  <c r="K32" i="1" l="1"/>
  <c r="K33" i="1"/>
  <c r="K22" i="1"/>
  <c r="K21" i="1"/>
  <c r="K14" i="1"/>
  <c r="N39" i="1"/>
  <c r="K41" i="1"/>
  <c r="N21" i="1" l="1"/>
  <c r="N15" i="1"/>
  <c r="N20" i="1"/>
  <c r="N14" i="1"/>
  <c r="N19" i="1"/>
  <c r="N13" i="1"/>
  <c r="K39" i="1"/>
  <c r="N22" i="1"/>
  <c r="N16" i="1"/>
  <c r="H41" i="1"/>
  <c r="H10" i="1"/>
  <c r="K29" i="1"/>
  <c r="K42" i="1"/>
  <c r="K40" i="1"/>
  <c r="H17" i="1"/>
  <c r="H15" i="1"/>
  <c r="H23" i="1"/>
  <c r="N42" i="1"/>
  <c r="N41" i="1"/>
  <c r="N40" i="1"/>
  <c r="H59" i="1" l="1"/>
  <c r="H71" i="3"/>
  <c r="H80" i="3" s="1"/>
  <c r="H39" i="1"/>
  <c r="H21" i="1"/>
  <c r="H42" i="1"/>
  <c r="H40" i="1"/>
  <c r="H22" i="1"/>
  <c r="H16" i="1"/>
  <c r="K20" i="1" l="1"/>
  <c r="O81" i="1"/>
  <c r="O11" i="2" l="1"/>
  <c r="F16" i="2"/>
  <c r="H16" i="2" s="1"/>
  <c r="H15" i="2"/>
  <c r="O10" i="3"/>
  <c r="N73" i="2"/>
  <c r="K73" i="2"/>
  <c r="O71" i="2"/>
  <c r="O70" i="2"/>
  <c r="O69" i="2"/>
  <c r="O68" i="2"/>
  <c r="O63" i="2"/>
  <c r="O62" i="2"/>
  <c r="O61" i="2"/>
  <c r="O60" i="2"/>
  <c r="O59" i="2"/>
  <c r="O58" i="2"/>
  <c r="H33" i="2"/>
  <c r="H32" i="2"/>
  <c r="O24" i="2"/>
  <c r="O18" i="2"/>
  <c r="L7" i="2"/>
  <c r="I7" i="2"/>
  <c r="N102" i="3"/>
  <c r="K102" i="3"/>
  <c r="H102" i="3"/>
  <c r="O100" i="3"/>
  <c r="O99" i="3"/>
  <c r="O98" i="3"/>
  <c r="O97" i="3"/>
  <c r="O92" i="3"/>
  <c r="O91" i="3"/>
  <c r="O90" i="3"/>
  <c r="O89" i="3"/>
  <c r="O88" i="3"/>
  <c r="O87" i="3"/>
  <c r="N60" i="3"/>
  <c r="I60" i="3"/>
  <c r="K60" i="3" s="1"/>
  <c r="H60" i="3"/>
  <c r="N59" i="3"/>
  <c r="I59" i="3"/>
  <c r="K59" i="3" s="1"/>
  <c r="H59" i="3"/>
  <c r="N58" i="3"/>
  <c r="I58" i="3"/>
  <c r="K58" i="3" s="1"/>
  <c r="H58" i="3"/>
  <c r="N57" i="3"/>
  <c r="I57" i="3"/>
  <c r="K57" i="3" s="1"/>
  <c r="H57" i="3"/>
  <c r="N56" i="3"/>
  <c r="I56" i="3"/>
  <c r="K56" i="3" s="1"/>
  <c r="H56" i="3"/>
  <c r="N55" i="3"/>
  <c r="I55" i="3"/>
  <c r="K55" i="3" s="1"/>
  <c r="H55" i="3"/>
  <c r="N54" i="3"/>
  <c r="I54" i="3"/>
  <c r="K54" i="3" s="1"/>
  <c r="H54" i="3"/>
  <c r="H53" i="3"/>
  <c r="O53" i="3" s="1"/>
  <c r="N52" i="3"/>
  <c r="K52" i="3"/>
  <c r="H52" i="3"/>
  <c r="N50" i="3"/>
  <c r="K50" i="3"/>
  <c r="H50" i="3"/>
  <c r="O47" i="3"/>
  <c r="L6" i="3"/>
  <c r="I6" i="3"/>
  <c r="K66" i="1"/>
  <c r="K65" i="1"/>
  <c r="N90" i="1"/>
  <c r="K90" i="1"/>
  <c r="N48" i="1"/>
  <c r="I48" i="1"/>
  <c r="K48" i="1" s="1"/>
  <c r="H48" i="1"/>
  <c r="O10" i="1"/>
  <c r="K62" i="1" l="1"/>
  <c r="I74" i="3"/>
  <c r="K74" i="3" s="1"/>
  <c r="O74" i="3" s="1"/>
  <c r="K45" i="2"/>
  <c r="O45" i="2" s="1"/>
  <c r="K41" i="2"/>
  <c r="K39" i="2"/>
  <c r="K40" i="2"/>
  <c r="K28" i="3"/>
  <c r="O28" i="3" s="1"/>
  <c r="K69" i="3"/>
  <c r="O69" i="3" s="1"/>
  <c r="K65" i="3"/>
  <c r="K68" i="3"/>
  <c r="K64" i="3"/>
  <c r="K78" i="3"/>
  <c r="K77" i="3"/>
  <c r="N65" i="3"/>
  <c r="N68" i="3"/>
  <c r="N71" i="3"/>
  <c r="N74" i="3"/>
  <c r="N78" i="3"/>
  <c r="N76" i="3"/>
  <c r="N73" i="3"/>
  <c r="N77" i="3"/>
  <c r="N72" i="3"/>
  <c r="N64" i="3"/>
  <c r="N48" i="2"/>
  <c r="O48" i="2" s="1"/>
  <c r="N39" i="2"/>
  <c r="N41" i="2"/>
  <c r="N40" i="2"/>
  <c r="K61" i="1"/>
  <c r="I73" i="3"/>
  <c r="K73" i="3" s="1"/>
  <c r="K59" i="1"/>
  <c r="I71" i="3"/>
  <c r="K64" i="1"/>
  <c r="I76" i="3"/>
  <c r="K60" i="1"/>
  <c r="I72" i="3"/>
  <c r="O31" i="1"/>
  <c r="K11" i="1"/>
  <c r="K9" i="1"/>
  <c r="O40" i="3"/>
  <c r="O39" i="3"/>
  <c r="O36" i="3"/>
  <c r="O31" i="2"/>
  <c r="O57" i="2"/>
  <c r="O43" i="2"/>
  <c r="O17" i="2"/>
  <c r="O73" i="2"/>
  <c r="O22" i="2"/>
  <c r="O30" i="2"/>
  <c r="O33" i="2"/>
  <c r="O32" i="2"/>
  <c r="O59" i="3"/>
  <c r="O38" i="3"/>
  <c r="O54" i="3"/>
  <c r="O35" i="3"/>
  <c r="O56" i="3"/>
  <c r="O46" i="3"/>
  <c r="O52" i="3"/>
  <c r="O55" i="3"/>
  <c r="O57" i="3"/>
  <c r="O58" i="3"/>
  <c r="O102" i="3"/>
  <c r="O45" i="3"/>
  <c r="O50" i="3"/>
  <c r="O60" i="3"/>
  <c r="O86" i="3"/>
  <c r="O15" i="2"/>
  <c r="O39" i="2"/>
  <c r="O9" i="2"/>
  <c r="O10" i="2"/>
  <c r="O12" i="2"/>
  <c r="O14" i="2"/>
  <c r="O16" i="2"/>
  <c r="O20" i="2"/>
  <c r="K27" i="3"/>
  <c r="O27" i="3" s="1"/>
  <c r="K29" i="3"/>
  <c r="O29" i="3" s="1"/>
  <c r="O9" i="3"/>
  <c r="O17" i="3"/>
  <c r="K24" i="3"/>
  <c r="O24" i="3" s="1"/>
  <c r="O16" i="3"/>
  <c r="O18" i="3"/>
  <c r="K23" i="3"/>
  <c r="O23" i="3" s="1"/>
  <c r="K25" i="3"/>
  <c r="O25" i="3" s="1"/>
  <c r="O57" i="1"/>
  <c r="O51" i="1"/>
  <c r="O56" i="1"/>
  <c r="O41" i="2" l="1"/>
  <c r="O40" i="2"/>
  <c r="O78" i="3"/>
  <c r="O65" i="3"/>
  <c r="O77" i="3"/>
  <c r="O73" i="3"/>
  <c r="O64" i="3"/>
  <c r="O68" i="3"/>
  <c r="N80" i="3"/>
  <c r="N81" i="3" s="1"/>
  <c r="N82" i="3" s="1"/>
  <c r="N104" i="3" s="1"/>
  <c r="H53" i="2"/>
  <c r="K76" i="3"/>
  <c r="O76" i="3" s="1"/>
  <c r="K72" i="3"/>
  <c r="K71" i="3"/>
  <c r="O71" i="3" s="1"/>
  <c r="O34" i="3"/>
  <c r="O33" i="3" s="1"/>
  <c r="O29" i="2"/>
  <c r="O21" i="2"/>
  <c r="O44" i="3"/>
  <c r="K51" i="2"/>
  <c r="O23" i="2"/>
  <c r="N51" i="2"/>
  <c r="O7" i="3"/>
  <c r="H75" i="2" l="1"/>
  <c r="O38" i="2"/>
  <c r="H81" i="3"/>
  <c r="H82" i="3" s="1"/>
  <c r="N52" i="2"/>
  <c r="N53" i="2" s="1"/>
  <c r="N75" i="2" s="1"/>
  <c r="K52" i="2"/>
  <c r="K53" i="2" s="1"/>
  <c r="O8" i="2"/>
  <c r="K80" i="3"/>
  <c r="K81" i="3" s="1"/>
  <c r="O72" i="3"/>
  <c r="O63" i="3" s="1"/>
  <c r="O80" i="3"/>
  <c r="K75" i="2" l="1"/>
  <c r="H104" i="3"/>
  <c r="O52" i="2"/>
  <c r="O53" i="2" s="1"/>
  <c r="O81" i="3"/>
  <c r="O82" i="3" s="1"/>
  <c r="O86" i="1"/>
  <c r="O87" i="1"/>
  <c r="O85" i="1"/>
  <c r="O75" i="2" l="1"/>
  <c r="O104" i="3"/>
  <c r="N9" i="1"/>
  <c r="N8" i="1"/>
  <c r="O60" i="1"/>
  <c r="O64" i="1" l="1"/>
  <c r="O65" i="1"/>
  <c r="O80" i="1" l="1"/>
  <c r="O54" i="1" l="1"/>
  <c r="O11" i="1"/>
  <c r="O9" i="1"/>
  <c r="O59" i="1"/>
  <c r="O16" i="1"/>
  <c r="O88" i="1"/>
  <c r="O79" i="1"/>
  <c r="O78" i="1"/>
  <c r="O77" i="1"/>
  <c r="O75" i="1"/>
  <c r="O15" i="1" l="1"/>
  <c r="O39" i="1"/>
  <c r="O40" i="1"/>
  <c r="O8" i="1"/>
  <c r="H68" i="1"/>
  <c r="H69" i="1" s="1"/>
  <c r="H70" i="1" s="1"/>
  <c r="O13" i="1"/>
  <c r="O22" i="1"/>
  <c r="O14" i="1"/>
  <c r="O17" i="1"/>
  <c r="O42" i="1"/>
  <c r="O66" i="1" l="1"/>
  <c r="O62" i="1"/>
  <c r="O50" i="1"/>
  <c r="O41" i="1"/>
  <c r="O38" i="1" s="1"/>
  <c r="O27" i="1"/>
  <c r="O21" i="1"/>
  <c r="O29" i="1"/>
  <c r="O20" i="1"/>
  <c r="O23" i="1"/>
  <c r="K68" i="1" l="1"/>
  <c r="K69" i="1" s="1"/>
  <c r="K70" i="1" s="1"/>
  <c r="N68" i="1"/>
  <c r="N69" i="1" s="1"/>
  <c r="N70" i="1" s="1"/>
  <c r="N92" i="1" s="1"/>
  <c r="O48" i="1"/>
  <c r="O19" i="1"/>
  <c r="O61" i="1"/>
  <c r="O28" i="1"/>
  <c r="O33" i="1"/>
  <c r="K92" i="1" l="1"/>
  <c r="O47" i="1"/>
  <c r="O32" i="1"/>
  <c r="O7" i="1" s="1"/>
  <c r="O68" i="1" l="1"/>
  <c r="O69" i="1" s="1"/>
  <c r="O70" i="1" s="1"/>
  <c r="K82" i="3" l="1"/>
  <c r="K104" i="3" s="1"/>
  <c r="O76" i="1" l="1"/>
  <c r="O90" i="1" s="1"/>
  <c r="O92" i="1" s="1"/>
  <c r="H90" i="1"/>
  <c r="H92" i="1" s="1"/>
  <c r="O7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Ed Antoine</author>
  </authors>
  <commentList>
    <comment ref="F6" authorId="0" shapeId="0" xr:uid="{D07D263C-4BFE-4AB4-8B7C-567BBAA898E3}">
      <text>
        <r>
          <rPr>
            <b/>
            <sz val="9"/>
            <color indexed="81"/>
            <rFont val="Tahoma"/>
            <family val="2"/>
          </rPr>
          <t>Ed Antoine:</t>
        </r>
        <r>
          <rPr>
            <sz val="9"/>
            <color indexed="81"/>
            <rFont val="Tahoma"/>
            <family val="2"/>
          </rPr>
          <t xml:space="preserve">
in deze cel  kan de standaar opslag worden meegenomen als men de nombedragen in INVESTERINGSkosten wil zien. Dan cel M2 op 0 zetten
</t>
        </r>
      </text>
    </comment>
    <comment ref="I6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Ed Antoine:</t>
        </r>
        <r>
          <rPr>
            <sz val="9"/>
            <color indexed="81"/>
            <rFont val="Tahoma"/>
            <family val="2"/>
          </rPr>
          <t xml:space="preserve">
in deze cel  kan de standaar opslag worden meegenomen als men de nombedragen in INVESTERINGSkosten wil zien. Dan cel M2 op 0 zetten
</t>
        </r>
      </text>
    </comment>
    <comment ref="L6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Ed Antoine:</t>
        </r>
        <r>
          <rPr>
            <sz val="9"/>
            <color indexed="81"/>
            <rFont val="Tahoma"/>
            <family val="2"/>
          </rPr>
          <t xml:space="preserve">
in deze cel  kan de standaar opslag worden meegenomen als men de nombedragen in INVESTERINGSkosten wil zien. Dan cel M2 op 0 zetten
</t>
        </r>
      </text>
    </comment>
    <comment ref="Q6" authorId="0" shapeId="0" xr:uid="{970D84A1-2926-4B25-BD16-8F8ADD82A539}">
      <text>
        <r>
          <rPr>
            <b/>
            <sz val="9"/>
            <color indexed="81"/>
            <rFont val="Tahoma"/>
            <family val="2"/>
          </rPr>
          <t>Ed Antoine:</t>
        </r>
        <r>
          <rPr>
            <sz val="9"/>
            <color indexed="81"/>
            <rFont val="Tahoma"/>
            <family val="2"/>
          </rPr>
          <t xml:space="preserve">
in deze cel  kan de standaar opslag worden meegenomen als men de nombedragen in INVESTERINGSkosten wil zien. Dan cel M2 op 0 zetten
</t>
        </r>
      </text>
    </comment>
    <comment ref="U6" authorId="0" shapeId="0" xr:uid="{146C165C-651B-4A13-B6D7-734720AA6FAF}">
      <text>
        <r>
          <rPr>
            <b/>
            <sz val="9"/>
            <color indexed="81"/>
            <rFont val="Tahoma"/>
            <family val="2"/>
          </rPr>
          <t>Ed Antoine:</t>
        </r>
        <r>
          <rPr>
            <sz val="9"/>
            <color indexed="81"/>
            <rFont val="Tahoma"/>
            <family val="2"/>
          </rPr>
          <t xml:space="preserve">
in deze cel  kan de standaar opslag worden meegenomen als men de nombedragen in INVESTERINGSkosten wil zien. Dan cel M2 op 0 zetten
</t>
        </r>
      </text>
    </comment>
    <comment ref="Y6" authorId="0" shapeId="0" xr:uid="{2D1BB94F-CF97-4A5D-9627-7DAF54182656}">
      <text>
        <r>
          <rPr>
            <b/>
            <sz val="9"/>
            <color indexed="81"/>
            <rFont val="Tahoma"/>
            <family val="2"/>
          </rPr>
          <t>Ed Antoine:</t>
        </r>
        <r>
          <rPr>
            <sz val="9"/>
            <color indexed="81"/>
            <rFont val="Tahoma"/>
            <family val="2"/>
          </rPr>
          <t xml:space="preserve">
in deze cel  kan de standaar opslag worden meegenomen als men de nombedragen in INVESTERINGSkosten wil zien. Dan cel M2 op 0 zetten
</t>
        </r>
      </text>
    </comment>
  </commentList>
</comments>
</file>

<file path=xl/sharedStrings.xml><?xml version="1.0" encoding="utf-8"?>
<sst xmlns="http://schemas.openxmlformats.org/spreadsheetml/2006/main" count="701" uniqueCount="245">
  <si>
    <t>Aanvrager</t>
  </si>
  <si>
    <t>km</t>
  </si>
  <si>
    <t>Traject</t>
  </si>
  <si>
    <t>tegels</t>
  </si>
  <si>
    <t>asfalt rood</t>
  </si>
  <si>
    <t>asfalt zwart</t>
  </si>
  <si>
    <t>EHP</t>
  </si>
  <si>
    <t xml:space="preserve">kosten € </t>
  </si>
  <si>
    <t>L  m1</t>
  </si>
  <si>
    <t>Nieuwbouw</t>
  </si>
  <si>
    <t>Slopen</t>
  </si>
  <si>
    <t>H=0,50-1,00</t>
  </si>
  <si>
    <t>H=0,00-0,50</t>
  </si>
  <si>
    <t>H=1,50-2,00</t>
  </si>
  <si>
    <t>B berm [m]</t>
  </si>
  <si>
    <t>B verharding [m]</t>
  </si>
  <si>
    <t>Aanbrengen</t>
  </si>
  <si>
    <t>Verwijderen</t>
  </si>
  <si>
    <t>incl afwerking</t>
  </si>
  <si>
    <t>Nieuwbouw/Verbreden</t>
  </si>
  <si>
    <t>Slopen en afwerken</t>
  </si>
  <si>
    <t>Verplaatsen</t>
  </si>
  <si>
    <t>4,0m mast LED</t>
  </si>
  <si>
    <t>kunstwerken</t>
  </si>
  <si>
    <t>I</t>
  </si>
  <si>
    <t>II</t>
  </si>
  <si>
    <t>III</t>
  </si>
  <si>
    <t>IV</t>
  </si>
  <si>
    <t>I.11</t>
  </si>
  <si>
    <t>I.12</t>
  </si>
  <si>
    <t>I.31</t>
  </si>
  <si>
    <t>I.32</t>
  </si>
  <si>
    <t>I.33</t>
  </si>
  <si>
    <t>I.34</t>
  </si>
  <si>
    <t>I.41</t>
  </si>
  <si>
    <t>I.42</t>
  </si>
  <si>
    <t>I.43</t>
  </si>
  <si>
    <t>I.44</t>
  </si>
  <si>
    <t>III.21</t>
  </si>
  <si>
    <t>III.22</t>
  </si>
  <si>
    <t>III.31</t>
  </si>
  <si>
    <t>III.32</t>
  </si>
  <si>
    <t>II.11</t>
  </si>
  <si>
    <t>II.12</t>
  </si>
  <si>
    <t>II.13</t>
  </si>
  <si>
    <t>II.14</t>
  </si>
  <si>
    <t xml:space="preserve">subTOTAAL € </t>
  </si>
  <si>
    <t>Renovatiie</t>
  </si>
  <si>
    <t>aantal</t>
  </si>
  <si>
    <t>ehd</t>
  </si>
  <si>
    <t>overige posten</t>
  </si>
  <si>
    <t>kabels &amp; leidingen</t>
  </si>
  <si>
    <t>inspecties &amp; achterstallig onderhoud</t>
  </si>
  <si>
    <t>OV op kruisingsvlakken</t>
  </si>
  <si>
    <t>I.51</t>
  </si>
  <si>
    <t>I.53</t>
  </si>
  <si>
    <t>I.54</t>
  </si>
  <si>
    <t>onderhoud</t>
  </si>
  <si>
    <t>Renovatie</t>
  </si>
  <si>
    <t>I.63</t>
  </si>
  <si>
    <t>I.64</t>
  </si>
  <si>
    <t>I.35</t>
  </si>
  <si>
    <t>I.45</t>
  </si>
  <si>
    <t>[m] verbreden</t>
  </si>
  <si>
    <t>H gemiddeld</t>
  </si>
  <si>
    <t>B=</t>
  </si>
  <si>
    <t>B &lt; 2,00</t>
  </si>
  <si>
    <t>EHP [DirK]</t>
  </si>
  <si>
    <t>B= 2,00 - 2,99</t>
  </si>
  <si>
    <t>B= 3,00 - 4,00</t>
  </si>
  <si>
    <t>B &gt; 4,00</t>
  </si>
  <si>
    <t>klein (/7 jr)</t>
  </si>
  <si>
    <t>groot (/14 jr)</t>
  </si>
  <si>
    <t>van het oppervlak</t>
  </si>
  <si>
    <t>H=1,00-1,50</t>
  </si>
  <si>
    <t>4x2,5  grondkabel</t>
  </si>
  <si>
    <t>met vluchtheuvel</t>
  </si>
  <si>
    <t xml:space="preserve">1 rijstrook (mast) </t>
  </si>
  <si>
    <t>bijzondere risico's</t>
  </si>
  <si>
    <t>bijzondere uitvoeringskosten</t>
  </si>
  <si>
    <t>met voetpad</t>
  </si>
  <si>
    <t>met voetpad en vluchtheuvel</t>
  </si>
  <si>
    <t>4 lantaarns incl drukpaal</t>
  </si>
  <si>
    <t>2 lantaarns incl drukpaal</t>
  </si>
  <si>
    <t>3 lantaarns incl drukpaal</t>
  </si>
  <si>
    <t>6 lantaarns incl drukpaal</t>
  </si>
  <si>
    <t>extra kosten voor NtD</t>
  </si>
  <si>
    <t>Onderhoud</t>
  </si>
  <si>
    <t>kleurtoeslag nee</t>
  </si>
  <si>
    <t>[m] verwijderen tegels</t>
  </si>
  <si>
    <t>I.61</t>
  </si>
  <si>
    <t>Verbreding</t>
  </si>
  <si>
    <t>OV langs Fp (HoH 25m)</t>
  </si>
  <si>
    <t>220V laagspanning</t>
  </si>
  <si>
    <t>standaard opslag in %</t>
  </si>
  <si>
    <t>bijzondere kosten IV01 t/m 90</t>
  </si>
  <si>
    <t>aanvullende opslagen IV97 t/m 99</t>
  </si>
  <si>
    <t>INV kst IV specials</t>
  </si>
  <si>
    <t>INV kst  I, II, III normbedragen</t>
  </si>
  <si>
    <t>bijlage: SSK onderbouwing</t>
  </si>
  <si>
    <t>schakelkast</t>
  </si>
  <si>
    <t>software</t>
  </si>
  <si>
    <t>hardware</t>
  </si>
  <si>
    <t>VRI programeren</t>
  </si>
  <si>
    <t>signaalkabel</t>
  </si>
  <si>
    <t>glasvezel</t>
  </si>
  <si>
    <t>III.11</t>
  </si>
  <si>
    <t>III.12</t>
  </si>
  <si>
    <t>III.41</t>
  </si>
  <si>
    <t>III.42</t>
  </si>
  <si>
    <t>III.43</t>
  </si>
  <si>
    <t>III.44</t>
  </si>
  <si>
    <t>III.51</t>
  </si>
  <si>
    <t>III.52</t>
  </si>
  <si>
    <t>III.xx</t>
  </si>
  <si>
    <t xml:space="preserve">2 rijstrook (zwenkmast) </t>
  </si>
  <si>
    <t xml:space="preserve">3 rijstrook (zwenkmast) </t>
  </si>
  <si>
    <t>VRI fietspad (set)</t>
  </si>
  <si>
    <t>VRI autoweg (set)</t>
  </si>
  <si>
    <t>incl detectielussen</t>
  </si>
  <si>
    <t>elementverharding</t>
  </si>
  <si>
    <t>&lt; 100 m2</t>
  </si>
  <si>
    <t>100 - 400 m2</t>
  </si>
  <si>
    <t>A  m2</t>
  </si>
  <si>
    <t>asfalt</t>
  </si>
  <si>
    <t>EHP/m1 [DirK]</t>
  </si>
  <si>
    <t>prefab</t>
  </si>
  <si>
    <t>EHP/m2 [DK]</t>
  </si>
  <si>
    <t>V</t>
  </si>
  <si>
    <t>bijzonder wegprofiel</t>
  </si>
  <si>
    <t>tegels (7 cm)</t>
  </si>
  <si>
    <t>50 km/u [10,80 m]</t>
  </si>
  <si>
    <t>70 km/u [15,00 m]</t>
  </si>
  <si>
    <t>30 km/u [ 7,50 m]</t>
  </si>
  <si>
    <t>B weg=</t>
  </si>
  <si>
    <t>2 takken</t>
  </si>
  <si>
    <t>3 takken</t>
  </si>
  <si>
    <t>4 takken</t>
  </si>
  <si>
    <t>30 km/uur</t>
  </si>
  <si>
    <t>50 km/uur</t>
  </si>
  <si>
    <t>visuele versmalling</t>
  </si>
  <si>
    <t>met uitstulpingen</t>
  </si>
  <si>
    <t>met fietsstroken</t>
  </si>
  <si>
    <t>Aantal</t>
  </si>
  <si>
    <t>EHP/st [DirK]</t>
  </si>
  <si>
    <t>beton</t>
  </si>
  <si>
    <t>lengte 6,00 m</t>
  </si>
  <si>
    <t>lengte 9,00 m</t>
  </si>
  <si>
    <t>lengte 12,00 m</t>
  </si>
  <si>
    <t>bank</t>
  </si>
  <si>
    <t>leunsteun</t>
  </si>
  <si>
    <t>afvalbak</t>
  </si>
  <si>
    <t>peukenzuil</t>
  </si>
  <si>
    <t>fietsbeugel (8 fietsen)</t>
  </si>
  <si>
    <t>overkapping</t>
  </si>
  <si>
    <t>naar depot</t>
  </si>
  <si>
    <t>abri's en meubilair</t>
  </si>
  <si>
    <t>LS</t>
  </si>
  <si>
    <t>opslag en transport</t>
  </si>
  <si>
    <t>slopen en afvoer</t>
  </si>
  <si>
    <t>verharding en banden</t>
  </si>
  <si>
    <t>per halte</t>
  </si>
  <si>
    <t>grondwerk per halte</t>
  </si>
  <si>
    <t>III.20</t>
  </si>
  <si>
    <t>haltemeubilair</t>
  </si>
  <si>
    <t>abri per halte</t>
  </si>
  <si>
    <t>DRIS per halte</t>
  </si>
  <si>
    <t>haltekom per halte</t>
  </si>
  <si>
    <t>perron per halte</t>
  </si>
  <si>
    <t xml:space="preserve">standaard opslagen </t>
  </si>
  <si>
    <t>Directe kosten  I, II en III</t>
  </si>
  <si>
    <t>I.  Verhardingen</t>
  </si>
  <si>
    <t>II.  Grondwerk (excl grondwerk standaard DWP)</t>
  </si>
  <si>
    <t>III.  Voorzieningen</t>
  </si>
  <si>
    <t>Totale INVESTERING kosten excl BTW  (brom) fietspaden</t>
  </si>
  <si>
    <t>Verplaatsen/aanpassen</t>
  </si>
  <si>
    <t>I.13</t>
  </si>
  <si>
    <t>I.14</t>
  </si>
  <si>
    <t>I.52</t>
  </si>
  <si>
    <t>I.62</t>
  </si>
  <si>
    <t>III.53</t>
  </si>
  <si>
    <t>[m]   B &lt; 2,00 m</t>
  </si>
  <si>
    <t>[m]   B= 2,00 - 4,00 m</t>
  </si>
  <si>
    <t>[m]   B= 2,00 - 2,99 m</t>
  </si>
  <si>
    <t>[m]   B= 3,00 - 4,00 m</t>
  </si>
  <si>
    <t>[m]   B &gt; 4,00 m</t>
  </si>
  <si>
    <t>EHP/st [DK]</t>
  </si>
  <si>
    <t>EHP [DK]</t>
  </si>
  <si>
    <t>Slopen en afvoeren</t>
  </si>
  <si>
    <t>II.21</t>
  </si>
  <si>
    <t>II.22</t>
  </si>
  <si>
    <t>II.23</t>
  </si>
  <si>
    <t>I. Drempels</t>
  </si>
  <si>
    <t>I.  Haltes</t>
  </si>
  <si>
    <t>II.  Fietsenstalling</t>
  </si>
  <si>
    <t>III.   Voorbereidend werk</t>
  </si>
  <si>
    <t>Totale INVESTERING kosten excl BTW  haltes</t>
  </si>
  <si>
    <t>III.13</t>
  </si>
  <si>
    <t>II.  Kruisingsvlakken</t>
  </si>
  <si>
    <t>III.  Versmalingen</t>
  </si>
  <si>
    <t>IV.  Voorzieningen</t>
  </si>
  <si>
    <t>V.  Specials</t>
  </si>
  <si>
    <t>Totale INVESTERING kosten excl BTW  snelheidsremmende maatregelen</t>
  </si>
  <si>
    <t>verleggen kabels &amp; leidingen</t>
  </si>
  <si>
    <t>grote VRI instalaties</t>
  </si>
  <si>
    <t>overige opslagen</t>
  </si>
  <si>
    <t>grondverbetering,  verontreiniging, overig grondwerk</t>
  </si>
  <si>
    <t>afwatering en riolering</t>
  </si>
  <si>
    <t>overige verhardingen (voetpaden, rijbanen autoverkeer)</t>
  </si>
  <si>
    <t>bomen en groenvoorzieningen</t>
  </si>
  <si>
    <t>xx</t>
  </si>
  <si>
    <t>nee</t>
  </si>
  <si>
    <t>EHP m3/m1</t>
  </si>
  <si>
    <t>toeslag EHP</t>
  </si>
  <si>
    <t>I.21</t>
  </si>
  <si>
    <t>I.22</t>
  </si>
  <si>
    <t>I.23</t>
  </si>
  <si>
    <t>renovatieen aanpassen bestaande voorzieningen</t>
  </si>
  <si>
    <t>verwijderen bestaande voorzieningen</t>
  </si>
  <si>
    <t>kunstwerken.</t>
  </si>
  <si>
    <t>vastgoed</t>
  </si>
  <si>
    <t>hekwerk per 6 m1</t>
  </si>
  <si>
    <t>V.1</t>
  </si>
  <si>
    <t>V.2</t>
  </si>
  <si>
    <t>V.3</t>
  </si>
  <si>
    <t>V.4</t>
  </si>
  <si>
    <t>V.5</t>
  </si>
  <si>
    <t>V.6</t>
  </si>
  <si>
    <t>V.7</t>
  </si>
  <si>
    <t>V.8</t>
  </si>
  <si>
    <t>V.9</t>
  </si>
  <si>
    <t>V.90</t>
  </si>
  <si>
    <t>V.97</t>
  </si>
  <si>
    <t>V.98</t>
  </si>
  <si>
    <t>V.99</t>
  </si>
  <si>
    <t xml:space="preserve"> </t>
  </si>
  <si>
    <t>INDEX</t>
  </si>
  <si>
    <t>2025 tov 2018</t>
  </si>
  <si>
    <t>check</t>
  </si>
  <si>
    <t>geindexeerd</t>
  </si>
  <si>
    <t>wordt</t>
  </si>
  <si>
    <t xml:space="preserve"> &lt;=====</t>
  </si>
  <si>
    <t>invullen</t>
  </si>
  <si>
    <t>Deze kolommen verbergen, inclusief de oranje kolommen in de sheet A t/m O</t>
  </si>
  <si>
    <t>invullen in sheet Fietspaden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</si>
</sst>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 &quot;€&quot;\ * #,##0_ ;_ &quot;€&quot;\ * \-#,##0_ ;_ &quot;€&quot;\ * &quot;-&quot;_ ;_ @_ "/>
    <numFmt numFmtId="44" formatCode="_ &quot;€&quot;\ * #,##0.00_ ;_ &quot;€&quot;\ * \-#,##0.00_ ;_ &quot;€&quot;\ * &quot;-&quot;??_ ;_ @_ "/>
  </numFmts>
  <fonts count="14" x14ac:knownFonts="1"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theme="0"/>
      <name val="Arial"/>
      <family val="2"/>
    </font>
    <font>
      <sz val="10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rgb="FFFF0000"/>
      <name val="Arial"/>
      <family val="2"/>
    </font>
    <font>
      <sz val="11"/>
      <color rgb="FF00610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rgb="FF9C5700"/>
      <name val="Calibri"/>
      <family val="2"/>
      <scheme val="minor"/>
    </font>
    <font>
      <sz val="10"/>
      <color rgb="FF006100"/>
      <name val="Calibri"/>
      <family val="2"/>
      <scheme val="minor"/>
    </font>
    <font>
      <b/>
      <sz val="11"/>
      <color rgb="FF00610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</cellStyleXfs>
  <cellXfs count="115">
    <xf numFmtId="0" fontId="0" fillId="0" borderId="0" xfId="0"/>
    <xf numFmtId="44" fontId="0" fillId="0" borderId="0" xfId="0" applyNumberFormat="1"/>
    <xf numFmtId="0" fontId="1" fillId="0" borderId="0" xfId="0" applyFont="1" applyAlignment="1">
      <alignment horizontal="center"/>
    </xf>
    <xf numFmtId="2" fontId="0" fillId="0" borderId="0" xfId="0" applyNumberFormat="1"/>
    <xf numFmtId="0" fontId="5" fillId="0" borderId="0" xfId="0" applyFont="1" applyAlignment="1">
      <alignment vertical="center"/>
    </xf>
    <xf numFmtId="42" fontId="0" fillId="0" borderId="0" xfId="0" applyNumberFormat="1"/>
    <xf numFmtId="0" fontId="0" fillId="10" borderId="2" xfId="0" applyFill="1" applyBorder="1"/>
    <xf numFmtId="0" fontId="0" fillId="10" borderId="3" xfId="0" applyFill="1" applyBorder="1"/>
    <xf numFmtId="0" fontId="0" fillId="4" borderId="3" xfId="0" quotePrefix="1" applyFill="1" applyBorder="1" applyProtection="1">
      <protection locked="0"/>
    </xf>
    <xf numFmtId="44" fontId="0" fillId="10" borderId="3" xfId="0" applyNumberFormat="1" applyFill="1" applyBorder="1"/>
    <xf numFmtId="42" fontId="0" fillId="10" borderId="3" xfId="0" applyNumberFormat="1" applyFill="1" applyBorder="1"/>
    <xf numFmtId="0" fontId="8" fillId="10" borderId="3" xfId="0" applyFont="1" applyFill="1" applyBorder="1"/>
    <xf numFmtId="9" fontId="0" fillId="4" borderId="3" xfId="0" applyNumberFormat="1" applyFill="1" applyBorder="1" applyAlignment="1" applyProtection="1">
      <alignment horizontal="center"/>
      <protection locked="0"/>
    </xf>
    <xf numFmtId="42" fontId="8" fillId="10" borderId="3" xfId="0" applyNumberFormat="1" applyFont="1" applyFill="1" applyBorder="1"/>
    <xf numFmtId="42" fontId="0" fillId="10" borderId="4" xfId="0" applyNumberFormat="1" applyFill="1" applyBorder="1"/>
    <xf numFmtId="0" fontId="0" fillId="10" borderId="5" xfId="0" applyFill="1" applyBorder="1"/>
    <xf numFmtId="0" fontId="0" fillId="10" borderId="0" xfId="0" applyFill="1"/>
    <xf numFmtId="0" fontId="0" fillId="4" borderId="0" xfId="0" quotePrefix="1" applyFill="1" applyProtection="1">
      <protection locked="0"/>
    </xf>
    <xf numFmtId="44" fontId="0" fillId="10" borderId="0" xfId="0" applyNumberFormat="1" applyFill="1"/>
    <xf numFmtId="42" fontId="0" fillId="10" borderId="0" xfId="0" applyNumberFormat="1" applyFill="1"/>
    <xf numFmtId="0" fontId="8" fillId="10" borderId="0" xfId="0" applyFont="1" applyFill="1"/>
    <xf numFmtId="2" fontId="0" fillId="4" borderId="0" xfId="0" applyNumberFormat="1" applyFill="1" applyAlignment="1" applyProtection="1">
      <alignment horizontal="center"/>
      <protection locked="0"/>
    </xf>
    <xf numFmtId="42" fontId="8" fillId="10" borderId="0" xfId="0" applyNumberFormat="1" applyFont="1" applyFill="1"/>
    <xf numFmtId="42" fontId="0" fillId="10" borderId="6" xfId="0" applyNumberFormat="1" applyFill="1" applyBorder="1"/>
    <xf numFmtId="0" fontId="0" fillId="10" borderId="7" xfId="0" applyFill="1" applyBorder="1"/>
    <xf numFmtId="0" fontId="0" fillId="4" borderId="8" xfId="0" applyFill="1" applyBorder="1" applyProtection="1">
      <protection locked="0"/>
    </xf>
    <xf numFmtId="3" fontId="0" fillId="4" borderId="8" xfId="0" applyNumberFormat="1" applyFill="1" applyBorder="1" applyProtection="1">
      <protection locked="0"/>
    </xf>
    <xf numFmtId="44" fontId="0" fillId="10" borderId="8" xfId="0" applyNumberFormat="1" applyFill="1" applyBorder="1"/>
    <xf numFmtId="42" fontId="0" fillId="10" borderId="8" xfId="0" applyNumberFormat="1" applyFill="1" applyBorder="1"/>
    <xf numFmtId="0" fontId="8" fillId="10" borderId="8" xfId="0" applyFont="1" applyFill="1" applyBorder="1"/>
    <xf numFmtId="2" fontId="0" fillId="4" borderId="8" xfId="0" applyNumberFormat="1" applyFill="1" applyBorder="1" applyAlignment="1" applyProtection="1">
      <alignment horizontal="center"/>
      <protection locked="0"/>
    </xf>
    <xf numFmtId="42" fontId="8" fillId="10" borderId="8" xfId="0" applyNumberFormat="1" applyFont="1" applyFill="1" applyBorder="1"/>
    <xf numFmtId="42" fontId="0" fillId="10" borderId="9" xfId="0" applyNumberFormat="1" applyFill="1" applyBorder="1"/>
    <xf numFmtId="0" fontId="1" fillId="8" borderId="0" xfId="0" applyFont="1" applyFill="1"/>
    <xf numFmtId="0" fontId="0" fillId="8" borderId="0" xfId="0" applyFill="1"/>
    <xf numFmtId="9" fontId="0" fillId="2" borderId="0" xfId="0" applyNumberFormat="1" applyFill="1"/>
    <xf numFmtId="42" fontId="1" fillId="3" borderId="0" xfId="0" applyNumberFormat="1" applyFont="1" applyFill="1"/>
    <xf numFmtId="2" fontId="0" fillId="8" borderId="0" xfId="0" applyNumberFormat="1" applyFill="1"/>
    <xf numFmtId="2" fontId="0" fillId="4" borderId="0" xfId="0" applyNumberFormat="1" applyFill="1" applyProtection="1">
      <protection locked="0"/>
    </xf>
    <xf numFmtId="44" fontId="0" fillId="2" borderId="0" xfId="0" applyNumberFormat="1" applyFill="1"/>
    <xf numFmtId="0" fontId="0" fillId="3" borderId="0" xfId="0" applyFill="1"/>
    <xf numFmtId="42" fontId="0" fillId="3" borderId="0" xfId="0" applyNumberFormat="1" applyFill="1"/>
    <xf numFmtId="0" fontId="0" fillId="9" borderId="0" xfId="0" applyFill="1"/>
    <xf numFmtId="0" fontId="0" fillId="4" borderId="0" xfId="0" applyFill="1" applyProtection="1">
      <protection locked="0"/>
    </xf>
    <xf numFmtId="42" fontId="0" fillId="5" borderId="0" xfId="0" applyNumberFormat="1" applyFill="1"/>
    <xf numFmtId="44" fontId="0" fillId="9" borderId="0" xfId="0" applyNumberFormat="1" applyFill="1"/>
    <xf numFmtId="0" fontId="0" fillId="6" borderId="0" xfId="0" applyFill="1"/>
    <xf numFmtId="42" fontId="0" fillId="6" borderId="0" xfId="0" applyNumberFormat="1" applyFill="1"/>
    <xf numFmtId="44" fontId="0" fillId="5" borderId="0" xfId="0" applyNumberFormat="1" applyFill="1"/>
    <xf numFmtId="0" fontId="0" fillId="5" borderId="0" xfId="0" applyFill="1"/>
    <xf numFmtId="9" fontId="0" fillId="4" borderId="0" xfId="0" applyNumberFormat="1" applyFill="1" applyProtection="1">
      <protection locked="0"/>
    </xf>
    <xf numFmtId="2" fontId="3" fillId="4" borderId="0" xfId="0" applyNumberFormat="1" applyFont="1" applyFill="1" applyProtection="1">
      <protection locked="0"/>
    </xf>
    <xf numFmtId="2" fontId="2" fillId="0" borderId="0" xfId="0" applyNumberFormat="1" applyFont="1"/>
    <xf numFmtId="44" fontId="1" fillId="3" borderId="0" xfId="0" applyNumberFormat="1" applyFont="1" applyFill="1"/>
    <xf numFmtId="44" fontId="0" fillId="3" borderId="0" xfId="0" applyNumberFormat="1" applyFill="1"/>
    <xf numFmtId="2" fontId="0" fillId="9" borderId="0" xfId="0" applyNumberFormat="1" applyFill="1"/>
    <xf numFmtId="0" fontId="0" fillId="9" borderId="0" xfId="0" applyFill="1" applyAlignment="1">
      <alignment horizontal="right"/>
    </xf>
    <xf numFmtId="0" fontId="1" fillId="3" borderId="0" xfId="0" applyFont="1" applyFill="1"/>
    <xf numFmtId="0" fontId="0" fillId="2" borderId="0" xfId="0" applyFill="1"/>
    <xf numFmtId="2" fontId="0" fillId="2" borderId="0" xfId="0" applyNumberFormat="1" applyFill="1"/>
    <xf numFmtId="42" fontId="0" fillId="2" borderId="0" xfId="0" applyNumberFormat="1" applyFill="1"/>
    <xf numFmtId="0" fontId="1" fillId="2" borderId="0" xfId="0" applyFont="1" applyFill="1"/>
    <xf numFmtId="2" fontId="1" fillId="2" borderId="0" xfId="0" applyNumberFormat="1" applyFont="1" applyFill="1"/>
    <xf numFmtId="44" fontId="1" fillId="2" borderId="0" xfId="0" applyNumberFormat="1" applyFont="1" applyFill="1"/>
    <xf numFmtId="42" fontId="1" fillId="2" borderId="0" xfId="0" applyNumberFormat="1" applyFont="1" applyFill="1"/>
    <xf numFmtId="0" fontId="1" fillId="7" borderId="0" xfId="0" applyFont="1" applyFill="1" applyAlignment="1">
      <alignment vertical="center"/>
    </xf>
    <xf numFmtId="42" fontId="1" fillId="7" borderId="0" xfId="0" applyNumberFormat="1" applyFont="1" applyFill="1" applyAlignment="1">
      <alignment vertical="center"/>
    </xf>
    <xf numFmtId="44" fontId="0" fillId="7" borderId="0" xfId="0" applyNumberFormat="1" applyFill="1"/>
    <xf numFmtId="0" fontId="1" fillId="7" borderId="0" xfId="0" applyFont="1" applyFill="1"/>
    <xf numFmtId="42" fontId="0" fillId="7" borderId="0" xfId="0" applyNumberFormat="1" applyFill="1"/>
    <xf numFmtId="42" fontId="1" fillId="7" borderId="0" xfId="0" applyNumberFormat="1" applyFont="1" applyFill="1"/>
    <xf numFmtId="0" fontId="0" fillId="7" borderId="0" xfId="0" applyFill="1"/>
    <xf numFmtId="42" fontId="0" fillId="4" borderId="0" xfId="0" applyNumberFormat="1" applyFill="1" applyProtection="1">
      <protection locked="0"/>
    </xf>
    <xf numFmtId="44" fontId="0" fillId="2" borderId="1" xfId="0" applyNumberFormat="1" applyFill="1" applyBorder="1"/>
    <xf numFmtId="0" fontId="0" fillId="2" borderId="1" xfId="0" applyFill="1" applyBorder="1"/>
    <xf numFmtId="42" fontId="0" fillId="2" borderId="1" xfId="0" applyNumberFormat="1" applyFill="1" applyBorder="1"/>
    <xf numFmtId="42" fontId="1" fillId="2" borderId="1" xfId="0" applyNumberFormat="1" applyFont="1" applyFill="1" applyBorder="1"/>
    <xf numFmtId="0" fontId="4" fillId="0" borderId="0" xfId="0" applyFont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2" fontId="5" fillId="2" borderId="0" xfId="0" applyNumberFormat="1" applyFont="1" applyFill="1" applyAlignment="1">
      <alignment vertical="center"/>
    </xf>
    <xf numFmtId="44" fontId="5" fillId="2" borderId="1" xfId="0" applyNumberFormat="1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42" fontId="4" fillId="2" borderId="1" xfId="0" applyNumberFormat="1" applyFont="1" applyFill="1" applyBorder="1" applyAlignment="1">
      <alignment vertical="center"/>
    </xf>
    <xf numFmtId="44" fontId="4" fillId="2" borderId="1" xfId="0" applyNumberFormat="1" applyFont="1" applyFill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44" fontId="0" fillId="6" borderId="0" xfId="0" applyNumberFormat="1" applyFill="1"/>
    <xf numFmtId="0" fontId="1" fillId="0" borderId="0" xfId="0" applyFont="1"/>
    <xf numFmtId="0" fontId="0" fillId="9" borderId="0" xfId="0" applyFill="1" applyAlignment="1">
      <alignment horizontal="left"/>
    </xf>
    <xf numFmtId="44" fontId="1" fillId="7" borderId="0" xfId="0" applyNumberFormat="1" applyFont="1" applyFill="1"/>
    <xf numFmtId="44" fontId="0" fillId="4" borderId="0" xfId="0" applyNumberFormat="1" applyFill="1" applyProtection="1">
      <protection locked="0"/>
    </xf>
    <xf numFmtId="44" fontId="1" fillId="2" borderId="1" xfId="0" applyNumberFormat="1" applyFont="1" applyFill="1" applyBorder="1"/>
    <xf numFmtId="0" fontId="1" fillId="2" borderId="1" xfId="0" applyFont="1" applyFill="1" applyBorder="1"/>
    <xf numFmtId="0" fontId="1" fillId="9" borderId="0" xfId="0" applyFont="1" applyFill="1"/>
    <xf numFmtId="0" fontId="0" fillId="9" borderId="0" xfId="0" quotePrefix="1" applyFill="1"/>
    <xf numFmtId="0" fontId="10" fillId="12" borderId="4" xfId="2" applyBorder="1"/>
    <xf numFmtId="9" fontId="10" fillId="12" borderId="7" xfId="2" applyNumberFormat="1" applyBorder="1"/>
    <xf numFmtId="0" fontId="10" fillId="12" borderId="9" xfId="2" applyBorder="1"/>
    <xf numFmtId="0" fontId="11" fillId="12" borderId="5" xfId="2" applyFont="1" applyBorder="1"/>
    <xf numFmtId="0" fontId="11" fillId="12" borderId="2" xfId="2" applyFont="1" applyBorder="1"/>
    <xf numFmtId="44" fontId="9" fillId="11" borderId="0" xfId="1" applyNumberFormat="1"/>
    <xf numFmtId="0" fontId="9" fillId="11" borderId="0" xfId="1"/>
    <xf numFmtId="44" fontId="12" fillId="11" borderId="0" xfId="1" applyNumberFormat="1" applyFont="1"/>
    <xf numFmtId="9" fontId="9" fillId="11" borderId="6" xfId="1" applyNumberFormat="1" applyBorder="1"/>
    <xf numFmtId="0" fontId="1" fillId="0" borderId="0" xfId="0" applyFont="1" applyAlignment="1">
      <alignment horizontal="right"/>
    </xf>
    <xf numFmtId="9" fontId="0" fillId="2" borderId="0" xfId="0" applyNumberFormat="1" applyFill="1" applyAlignment="1">
      <alignment horizontal="right"/>
    </xf>
    <xf numFmtId="9" fontId="13" fillId="9" borderId="6" xfId="1" applyNumberFormat="1" applyFont="1" applyFill="1" applyBorder="1"/>
    <xf numFmtId="0" fontId="4" fillId="9" borderId="0" xfId="0" applyFont="1" applyFill="1"/>
    <xf numFmtId="9" fontId="9" fillId="13" borderId="6" xfId="1" applyNumberFormat="1" applyFill="1" applyBorder="1"/>
    <xf numFmtId="9" fontId="13" fillId="13" borderId="6" xfId="1" applyNumberFormat="1" applyFont="1" applyFill="1" applyBorder="1"/>
    <xf numFmtId="0" fontId="4" fillId="13" borderId="0" xfId="0" applyFont="1" applyFill="1"/>
    <xf numFmtId="0" fontId="0" fillId="13" borderId="0" xfId="0" applyFill="1"/>
    <xf numFmtId="0" fontId="1" fillId="7" borderId="0" xfId="0" applyFont="1" applyFill="1" applyAlignment="1">
      <alignment horizontal="center" vertical="center"/>
    </xf>
    <xf numFmtId="0" fontId="1" fillId="7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</cellXfs>
  <cellStyles count="3">
    <cellStyle name="Goed" xfId="1" builtinId="26"/>
    <cellStyle name="Neutraal" xfId="2" builtinId="28"/>
    <cellStyle name="Standaard" xfId="0" builtinId="0" customBuiltin="1"/>
  </cellStyles>
  <dxfs count="0"/>
  <tableStyles count="0" defaultTableStyle="TableStyleMedium2" defaultPivotStyle="PivotStyleLight16"/>
  <colors>
    <mruColors>
      <color rgb="FFFFFFCC"/>
      <color rgb="FF00B0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228600</xdr:colOff>
          <xdr:row>0</xdr:row>
          <xdr:rowOff>101600</xdr:rowOff>
        </xdr:from>
        <xdr:to>
          <xdr:col>1</xdr:col>
          <xdr:colOff>520700</xdr:colOff>
          <xdr:row>2</xdr:row>
          <xdr:rowOff>114300</xdr:rowOff>
        </xdr:to>
        <xdr:sp macro="" textlink="">
          <xdr:nvSpPr>
            <xdr:cNvPr id="7169" name="Button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nl-NL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Protect sheets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</xdr:colOff>
      <xdr:row>9</xdr:row>
      <xdr:rowOff>60960</xdr:rowOff>
    </xdr:from>
    <xdr:to>
      <xdr:col>10</xdr:col>
      <xdr:colOff>579120</xdr:colOff>
      <xdr:row>10</xdr:row>
      <xdr:rowOff>144780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7802880" y="1569720"/>
          <a:ext cx="571500" cy="25146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1100"/>
            <a:t>zie III</a:t>
          </a:r>
        </a:p>
      </xdr:txBody>
    </xdr:sp>
    <xdr:clientData/>
  </xdr:twoCellAnchor>
  <xdr:twoCellAnchor>
    <xdr:from>
      <xdr:col>13</xdr:col>
      <xdr:colOff>15240</xdr:colOff>
      <xdr:row>9</xdr:row>
      <xdr:rowOff>45720</xdr:rowOff>
    </xdr:from>
    <xdr:to>
      <xdr:col>13</xdr:col>
      <xdr:colOff>586740</xdr:colOff>
      <xdr:row>10</xdr:row>
      <xdr:rowOff>129540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10294620" y="1554480"/>
          <a:ext cx="571500" cy="25146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1100"/>
            <a:t>zie III</a:t>
          </a:r>
        </a:p>
      </xdr:txBody>
    </xdr:sp>
    <xdr:clientData/>
  </xdr:twoCellAnchor>
  <xdr:twoCellAnchor>
    <xdr:from>
      <xdr:col>10</xdr:col>
      <xdr:colOff>15240</xdr:colOff>
      <xdr:row>14</xdr:row>
      <xdr:rowOff>91440</xdr:rowOff>
    </xdr:from>
    <xdr:to>
      <xdr:col>10</xdr:col>
      <xdr:colOff>586740</xdr:colOff>
      <xdr:row>16</xdr:row>
      <xdr:rowOff>7620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7810500" y="2354580"/>
          <a:ext cx="571500" cy="25146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1100"/>
            <a:t>zie III</a:t>
          </a:r>
        </a:p>
      </xdr:txBody>
    </xdr:sp>
    <xdr:clientData/>
  </xdr:twoCellAnchor>
  <xdr:twoCellAnchor>
    <xdr:from>
      <xdr:col>13</xdr:col>
      <xdr:colOff>0</xdr:colOff>
      <xdr:row>14</xdr:row>
      <xdr:rowOff>99060</xdr:rowOff>
    </xdr:from>
    <xdr:to>
      <xdr:col>13</xdr:col>
      <xdr:colOff>571500</xdr:colOff>
      <xdr:row>16</xdr:row>
      <xdr:rowOff>15240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10279380" y="2362200"/>
          <a:ext cx="571500" cy="25146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1100"/>
            <a:t>zie III</a:t>
          </a:r>
        </a:p>
      </xdr:txBody>
    </xdr:sp>
    <xdr:clientData/>
  </xdr:twoCellAnchor>
  <xdr:twoCellAnchor>
    <xdr:from>
      <xdr:col>10</xdr:col>
      <xdr:colOff>38100</xdr:colOff>
      <xdr:row>20</xdr:row>
      <xdr:rowOff>91440</xdr:rowOff>
    </xdr:from>
    <xdr:to>
      <xdr:col>10</xdr:col>
      <xdr:colOff>609600</xdr:colOff>
      <xdr:row>22</xdr:row>
      <xdr:rowOff>7620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7833360" y="3276600"/>
          <a:ext cx="571500" cy="25146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1100"/>
            <a:t>zie III</a:t>
          </a:r>
        </a:p>
      </xdr:txBody>
    </xdr:sp>
    <xdr:clientData/>
  </xdr:twoCellAnchor>
  <xdr:twoCellAnchor>
    <xdr:from>
      <xdr:col>13</xdr:col>
      <xdr:colOff>22860</xdr:colOff>
      <xdr:row>20</xdr:row>
      <xdr:rowOff>99060</xdr:rowOff>
    </xdr:from>
    <xdr:to>
      <xdr:col>13</xdr:col>
      <xdr:colOff>594360</xdr:colOff>
      <xdr:row>22</xdr:row>
      <xdr:rowOff>15240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10302240" y="3284220"/>
          <a:ext cx="571500" cy="25146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1100"/>
            <a:t>zie III</a:t>
          </a:r>
        </a:p>
      </xdr:txBody>
    </xdr:sp>
    <xdr:clientData/>
  </xdr:twoCellAnchor>
  <xdr:twoCellAnchor>
    <xdr:from>
      <xdr:col>12</xdr:col>
      <xdr:colOff>586740</xdr:colOff>
      <xdr:row>29</xdr:row>
      <xdr:rowOff>38100</xdr:rowOff>
    </xdr:from>
    <xdr:to>
      <xdr:col>13</xdr:col>
      <xdr:colOff>548640</xdr:colOff>
      <xdr:row>30</xdr:row>
      <xdr:rowOff>121920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9441180" y="4495800"/>
          <a:ext cx="571500" cy="25146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1100"/>
            <a:t>zie III</a:t>
          </a:r>
        </a:p>
      </xdr:txBody>
    </xdr:sp>
    <xdr:clientData/>
  </xdr:twoCellAnchor>
  <xdr:twoCellAnchor>
    <xdr:from>
      <xdr:col>10</xdr:col>
      <xdr:colOff>53340</xdr:colOff>
      <xdr:row>29</xdr:row>
      <xdr:rowOff>45720</xdr:rowOff>
    </xdr:from>
    <xdr:to>
      <xdr:col>10</xdr:col>
      <xdr:colOff>624840</xdr:colOff>
      <xdr:row>30</xdr:row>
      <xdr:rowOff>129540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 txBox="1"/>
      </xdr:nvSpPr>
      <xdr:spPr>
        <a:xfrm>
          <a:off x="7033260" y="4503420"/>
          <a:ext cx="571500" cy="25146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1100"/>
            <a:t>zie III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/>
  <dimension ref="A1:B3"/>
  <sheetViews>
    <sheetView showGridLines="0" showRowColHeaders="0" workbookViewId="0">
      <selection activeCell="B1" sqref="B1"/>
    </sheetView>
  </sheetViews>
  <sheetFormatPr defaultColWidth="0" defaultRowHeight="13.25" customHeight="1" zeroHeight="1" x14ac:dyDescent="0.25"/>
  <cols>
    <col min="1" max="1" width="8.90625" customWidth="1"/>
    <col min="2" max="2" width="10.08984375" customWidth="1"/>
    <col min="3" max="3" width="8.90625" hidden="1" customWidth="1"/>
    <col min="4" max="16384" width="8.90625" hidden="1"/>
  </cols>
  <sheetData>
    <row r="1" ht="12.5" x14ac:dyDescent="0.25"/>
    <row r="2" ht="12.5" x14ac:dyDescent="0.25"/>
    <row r="3" ht="12.5" x14ac:dyDescent="0.25"/>
  </sheetData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Button 1">
              <controlPr defaultSize="0" print="0" autoFill="0" autoPict="0" macro="[0]!bla">
                <anchor moveWithCells="1" sizeWithCells="1">
                  <from>
                    <xdr:col>0</xdr:col>
                    <xdr:colOff>228600</xdr:colOff>
                    <xdr:row>0</xdr:row>
                    <xdr:rowOff>101600</xdr:rowOff>
                  </from>
                  <to>
                    <xdr:col>1</xdr:col>
                    <xdr:colOff>520700</xdr:colOff>
                    <xdr:row>2</xdr:row>
                    <xdr:rowOff>114300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>
    <pageSetUpPr fitToPage="1"/>
  </sheetPr>
  <dimension ref="A1:Z75"/>
  <sheetViews>
    <sheetView zoomScaleNormal="100" zoomScaleSheetLayoutView="80" workbookViewId="0">
      <selection activeCell="G18" sqref="G18"/>
    </sheetView>
  </sheetViews>
  <sheetFormatPr defaultRowHeight="13" x14ac:dyDescent="0.3"/>
  <cols>
    <col min="1" max="1" width="5.54296875" style="2" customWidth="1"/>
    <col min="2" max="2" width="5.90625" customWidth="1"/>
    <col min="3" max="3" width="19.453125" customWidth="1"/>
    <col min="4" max="4" width="4.453125" style="3" customWidth="1"/>
    <col min="5" max="5" width="23.08984375" customWidth="1"/>
    <col min="6" max="6" width="13.36328125" style="1" hidden="1" customWidth="1"/>
    <col min="8" max="8" width="14.453125" customWidth="1"/>
    <col min="9" max="9" width="14.90625" style="1" hidden="1" customWidth="1"/>
    <col min="11" max="11" width="14.453125" customWidth="1"/>
    <col min="12" max="12" width="14.08984375" style="1" hidden="1" customWidth="1"/>
    <col min="14" max="14" width="14.6328125" customWidth="1"/>
    <col min="15" max="15" width="15.453125" customWidth="1"/>
    <col min="18" max="18" width="13.36328125" hidden="1" customWidth="1"/>
    <col min="19" max="19" width="11.90625" hidden="1" customWidth="1"/>
    <col min="20" max="20" width="0" hidden="1" customWidth="1"/>
    <col min="21" max="21" width="12.90625" hidden="1" customWidth="1"/>
    <col min="22" max="22" width="10.90625" hidden="1" customWidth="1"/>
    <col min="23" max="23" width="0" hidden="1" customWidth="1"/>
    <col min="24" max="24" width="14.08984375" hidden="1" customWidth="1"/>
    <col min="25" max="25" width="11.08984375" hidden="1" customWidth="1"/>
    <col min="26" max="27" width="0" hidden="1" customWidth="1"/>
  </cols>
  <sheetData>
    <row r="1" spans="1:26" ht="13.5" thickBot="1" x14ac:dyDescent="0.35">
      <c r="R1" s="111" t="s">
        <v>243</v>
      </c>
      <c r="S1" s="111"/>
      <c r="T1" s="111"/>
      <c r="U1" s="111"/>
      <c r="V1" s="111"/>
      <c r="W1" s="111"/>
      <c r="X1" s="111"/>
      <c r="Y1" s="111"/>
      <c r="Z1" s="111"/>
    </row>
    <row r="2" spans="1:26" ht="14.5" x14ac:dyDescent="0.35">
      <c r="B2" s="6" t="s">
        <v>0</v>
      </c>
      <c r="C2" s="7"/>
      <c r="D2" s="9"/>
      <c r="E2" s="8"/>
      <c r="F2" s="9"/>
      <c r="G2" s="9"/>
      <c r="H2" s="10" t="s">
        <v>94</v>
      </c>
      <c r="I2" s="9"/>
      <c r="J2" s="11"/>
      <c r="K2" s="11"/>
      <c r="L2" s="9"/>
      <c r="M2" s="12">
        <v>0.8</v>
      </c>
      <c r="N2" s="13" t="str">
        <f>IF(M2=80%,"","onderbouwing opslagen bijvoegen")</f>
        <v/>
      </c>
      <c r="O2" s="14"/>
      <c r="R2" s="99" t="s">
        <v>236</v>
      </c>
      <c r="S2" s="95"/>
    </row>
    <row r="3" spans="1:26" ht="14.5" x14ac:dyDescent="0.35">
      <c r="B3" s="15" t="s">
        <v>2</v>
      </c>
      <c r="C3" s="16"/>
      <c r="D3" s="18"/>
      <c r="E3" s="17"/>
      <c r="F3" s="18"/>
      <c r="G3" s="18"/>
      <c r="H3" s="19" t="s">
        <v>96</v>
      </c>
      <c r="I3" s="18"/>
      <c r="J3" s="20"/>
      <c r="K3" s="20"/>
      <c r="L3" s="18"/>
      <c r="M3" s="21" t="s">
        <v>211</v>
      </c>
      <c r="N3" s="22" t="str">
        <f>IF(M3="nee","","onderbouwing opslagen bijvoegen")</f>
        <v/>
      </c>
      <c r="O3" s="23"/>
      <c r="R3" s="98" t="s">
        <v>237</v>
      </c>
      <c r="S3" s="103">
        <f>Index_tov_2018</f>
        <v>1.42</v>
      </c>
      <c r="T3" s="106" t="s">
        <v>241</v>
      </c>
      <c r="U3" s="107" t="s">
        <v>244</v>
      </c>
      <c r="V3" s="42"/>
      <c r="W3" s="42"/>
    </row>
    <row r="4" spans="1:26" ht="15" thickBot="1" x14ac:dyDescent="0.4">
      <c r="B4" s="24"/>
      <c r="C4" s="27"/>
      <c r="D4" s="27"/>
      <c r="E4" s="25"/>
      <c r="F4" s="27"/>
      <c r="G4" s="27"/>
      <c r="H4" s="28" t="s">
        <v>95</v>
      </c>
      <c r="I4" s="27"/>
      <c r="J4" s="29"/>
      <c r="K4" s="29"/>
      <c r="L4" s="27"/>
      <c r="M4" s="30" t="s">
        <v>211</v>
      </c>
      <c r="N4" s="31" t="str">
        <f>IF(M4="nee","","onderbouwing bijvoegen")</f>
        <v/>
      </c>
      <c r="O4" s="32"/>
      <c r="R4" s="96" t="s">
        <v>235</v>
      </c>
      <c r="S4" s="97"/>
    </row>
    <row r="5" spans="1:26" hidden="1" x14ac:dyDescent="0.3"/>
    <row r="7" spans="1:26" x14ac:dyDescent="0.3">
      <c r="A7" s="2" t="s">
        <v>24</v>
      </c>
      <c r="B7" s="33" t="s">
        <v>193</v>
      </c>
      <c r="C7" s="34"/>
      <c r="D7" s="34"/>
      <c r="E7" s="34"/>
      <c r="F7" s="35">
        <v>1</v>
      </c>
      <c r="G7" s="114" t="s">
        <v>9</v>
      </c>
      <c r="H7" s="114"/>
      <c r="I7" s="35">
        <f>+F7</f>
        <v>1</v>
      </c>
      <c r="J7" s="114" t="s">
        <v>58</v>
      </c>
      <c r="K7" s="114"/>
      <c r="L7" s="35">
        <f>+F7</f>
        <v>1</v>
      </c>
      <c r="M7" s="114" t="s">
        <v>188</v>
      </c>
      <c r="N7" s="114"/>
      <c r="O7" s="57" t="s">
        <v>46</v>
      </c>
      <c r="R7" s="35">
        <v>1</v>
      </c>
      <c r="T7" s="104" t="s">
        <v>238</v>
      </c>
    </row>
    <row r="8" spans="1:26" x14ac:dyDescent="0.3">
      <c r="B8" s="34"/>
      <c r="C8" s="34"/>
      <c r="D8" s="37"/>
      <c r="E8" s="34"/>
      <c r="F8" s="39" t="s">
        <v>144</v>
      </c>
      <c r="G8" s="40" t="s">
        <v>143</v>
      </c>
      <c r="H8" s="40" t="s">
        <v>7</v>
      </c>
      <c r="I8" s="39" t="s">
        <v>67</v>
      </c>
      <c r="J8" s="40"/>
      <c r="K8" s="40" t="s">
        <v>7</v>
      </c>
      <c r="L8" s="39" t="s">
        <v>67</v>
      </c>
      <c r="M8" s="40" t="s">
        <v>8</v>
      </c>
      <c r="N8" s="40" t="s">
        <v>7</v>
      </c>
      <c r="O8" s="53">
        <f>SUM(O9:O25)</f>
        <v>0</v>
      </c>
      <c r="R8" s="39" t="s">
        <v>144</v>
      </c>
    </row>
    <row r="9" spans="1:26" x14ac:dyDescent="0.3">
      <c r="B9" s="42" t="s">
        <v>28</v>
      </c>
      <c r="C9" s="42" t="s">
        <v>167</v>
      </c>
      <c r="D9" s="55"/>
      <c r="E9" s="42" t="s">
        <v>124</v>
      </c>
      <c r="F9" s="39">
        <f>7865.95943125*Index_tov_2018</f>
        <v>11169.662392374999</v>
      </c>
      <c r="G9" s="43"/>
      <c r="H9" s="44">
        <f>ROUNDUP(+G9*F9*F$7,-1)</f>
        <v>0</v>
      </c>
      <c r="I9" s="46"/>
      <c r="J9" s="46"/>
      <c r="K9" s="86"/>
      <c r="L9" s="46"/>
      <c r="M9" s="46"/>
      <c r="N9" s="86"/>
      <c r="O9" s="48">
        <f>+N9+K9+H9</f>
        <v>0</v>
      </c>
      <c r="R9" s="39">
        <v>7865.9594312499985</v>
      </c>
      <c r="S9" s="45">
        <f>R9*1.42</f>
        <v>11169.662392374998</v>
      </c>
      <c r="T9" s="1">
        <f>S9-F9</f>
        <v>0</v>
      </c>
    </row>
    <row r="10" spans="1:26" x14ac:dyDescent="0.3">
      <c r="B10" s="42" t="s">
        <v>29</v>
      </c>
      <c r="C10" s="42"/>
      <c r="D10" s="55"/>
      <c r="E10" s="42" t="s">
        <v>145</v>
      </c>
      <c r="F10" s="39">
        <f>11209.66355625*Index_tov_2018</f>
        <v>15917.722249874998</v>
      </c>
      <c r="G10" s="43"/>
      <c r="H10" s="44">
        <f t="shared" ref="H10:H24" si="0">ROUNDUP(+G10*F10*F$7,-1)</f>
        <v>0</v>
      </c>
      <c r="I10" s="46"/>
      <c r="J10" s="46"/>
      <c r="K10" s="86"/>
      <c r="L10" s="46"/>
      <c r="M10" s="46"/>
      <c r="N10" s="86"/>
      <c r="O10" s="48">
        <f>+N10+K10+H10</f>
        <v>0</v>
      </c>
      <c r="R10" s="39">
        <v>11209.663556249998</v>
      </c>
      <c r="S10" s="45">
        <f>R10*1.42</f>
        <v>15917.722249874996</v>
      </c>
      <c r="T10" s="1">
        <f>S10-F10</f>
        <v>0</v>
      </c>
    </row>
    <row r="11" spans="1:26" x14ac:dyDescent="0.3">
      <c r="B11" s="42" t="s">
        <v>176</v>
      </c>
      <c r="C11" s="45" t="s">
        <v>168</v>
      </c>
      <c r="D11" s="55"/>
      <c r="E11" s="42" t="s">
        <v>126</v>
      </c>
      <c r="F11" s="39">
        <f>27468.8099848485*Index_tov_2018</f>
        <v>39005.710178484871</v>
      </c>
      <c r="G11" s="43"/>
      <c r="H11" s="44">
        <f t="shared" si="0"/>
        <v>0</v>
      </c>
      <c r="I11" s="46"/>
      <c r="J11" s="46"/>
      <c r="K11" s="86"/>
      <c r="L11" s="46"/>
      <c r="M11" s="46"/>
      <c r="N11" s="86"/>
      <c r="O11" s="48">
        <f>+N11+K11+H11</f>
        <v>0</v>
      </c>
      <c r="R11" s="39">
        <v>27468.809984848489</v>
      </c>
      <c r="S11" s="45">
        <f>R11*1.42</f>
        <v>39005.710178484849</v>
      </c>
      <c r="T11" s="1">
        <f>S11-F11</f>
        <v>0</v>
      </c>
    </row>
    <row r="12" spans="1:26" x14ac:dyDescent="0.3">
      <c r="B12" s="42" t="s">
        <v>177</v>
      </c>
      <c r="C12" s="45"/>
      <c r="D12" s="55"/>
      <c r="E12" s="42"/>
      <c r="F12" s="46"/>
      <c r="G12" s="46"/>
      <c r="H12" s="86"/>
      <c r="I12" s="46"/>
      <c r="J12" s="46"/>
      <c r="K12" s="86"/>
      <c r="L12" s="46"/>
      <c r="M12" s="46"/>
      <c r="N12" s="86"/>
      <c r="O12" s="48">
        <f>+N12+K12+H12</f>
        <v>0</v>
      </c>
      <c r="R12" s="46"/>
    </row>
    <row r="13" spans="1:26" ht="6.65" customHeight="1" x14ac:dyDescent="0.3">
      <c r="B13" s="48"/>
      <c r="C13" s="48"/>
      <c r="D13" s="48"/>
      <c r="E13" s="48"/>
      <c r="F13" s="48"/>
      <c r="G13" s="49"/>
      <c r="H13" s="48"/>
      <c r="I13" s="48"/>
      <c r="J13" s="49"/>
      <c r="K13" s="48"/>
      <c r="L13" s="48"/>
      <c r="M13" s="49"/>
      <c r="N13" s="48"/>
      <c r="O13" s="48"/>
      <c r="R13" s="48"/>
    </row>
    <row r="14" spans="1:26" x14ac:dyDescent="0.3">
      <c r="B14" s="42" t="s">
        <v>30</v>
      </c>
      <c r="C14" s="42" t="s">
        <v>165</v>
      </c>
      <c r="D14" s="55"/>
      <c r="E14" s="42" t="s">
        <v>146</v>
      </c>
      <c r="F14" s="39">
        <f>22500*Index_tov_2018</f>
        <v>31950</v>
      </c>
      <c r="G14" s="43"/>
      <c r="H14" s="44">
        <f t="shared" si="0"/>
        <v>0</v>
      </c>
      <c r="I14" s="46"/>
      <c r="J14" s="46"/>
      <c r="K14" s="86"/>
      <c r="L14" s="46"/>
      <c r="M14" s="46"/>
      <c r="N14" s="86"/>
      <c r="O14" s="48">
        <f t="shared" ref="O14:O18" si="1">+N14+K14+H14</f>
        <v>0</v>
      </c>
      <c r="R14" s="39">
        <v>22500</v>
      </c>
      <c r="S14" s="45">
        <f t="shared" ref="S14:S16" si="2">R14*1.42</f>
        <v>31950</v>
      </c>
      <c r="T14" s="1">
        <f t="shared" ref="T14:T16" si="3">S14-F14</f>
        <v>0</v>
      </c>
    </row>
    <row r="15" spans="1:26" x14ac:dyDescent="0.3">
      <c r="B15" s="42" t="s">
        <v>31</v>
      </c>
      <c r="C15" s="42"/>
      <c r="D15" s="55"/>
      <c r="E15" s="42" t="s">
        <v>147</v>
      </c>
      <c r="F15" s="39">
        <f>+F14*1.5</f>
        <v>47925</v>
      </c>
      <c r="G15" s="43"/>
      <c r="H15" s="44">
        <f t="shared" si="0"/>
        <v>0</v>
      </c>
      <c r="I15" s="46"/>
      <c r="J15" s="46"/>
      <c r="K15" s="86"/>
      <c r="L15" s="46"/>
      <c r="M15" s="46"/>
      <c r="N15" s="86"/>
      <c r="O15" s="48">
        <f t="shared" si="1"/>
        <v>0</v>
      </c>
      <c r="P15" s="1"/>
      <c r="R15" s="39">
        <f>+R14*1.5</f>
        <v>33750</v>
      </c>
      <c r="S15" s="45">
        <f t="shared" si="2"/>
        <v>47925</v>
      </c>
      <c r="T15" s="1">
        <f t="shared" si="3"/>
        <v>0</v>
      </c>
    </row>
    <row r="16" spans="1:26" x14ac:dyDescent="0.3">
      <c r="B16" s="42" t="s">
        <v>32</v>
      </c>
      <c r="C16" s="42"/>
      <c r="D16" s="55"/>
      <c r="E16" s="42" t="s">
        <v>148</v>
      </c>
      <c r="F16" s="39">
        <f>+F14*2</f>
        <v>63900</v>
      </c>
      <c r="G16" s="43"/>
      <c r="H16" s="44">
        <f t="shared" si="0"/>
        <v>0</v>
      </c>
      <c r="I16" s="46"/>
      <c r="J16" s="46"/>
      <c r="K16" s="86"/>
      <c r="L16" s="46"/>
      <c r="M16" s="46"/>
      <c r="N16" s="86"/>
      <c r="O16" s="48">
        <f t="shared" si="1"/>
        <v>0</v>
      </c>
      <c r="P16" s="1"/>
      <c r="R16" s="39">
        <f>+R14*2</f>
        <v>45000</v>
      </c>
      <c r="S16" s="45">
        <f t="shared" si="2"/>
        <v>63900</v>
      </c>
      <c r="T16" s="1">
        <f t="shared" si="3"/>
        <v>0</v>
      </c>
    </row>
    <row r="17" spans="1:20" x14ac:dyDescent="0.3">
      <c r="B17" s="42" t="s">
        <v>33</v>
      </c>
      <c r="C17" s="42"/>
      <c r="D17" s="55"/>
      <c r="E17" s="42"/>
      <c r="F17" s="46"/>
      <c r="G17" s="46"/>
      <c r="H17" s="86"/>
      <c r="I17" s="46"/>
      <c r="J17" s="46"/>
      <c r="K17" s="86"/>
      <c r="L17" s="46"/>
      <c r="M17" s="46"/>
      <c r="N17" s="86"/>
      <c r="O17" s="48">
        <f t="shared" si="1"/>
        <v>0</v>
      </c>
      <c r="P17" s="1"/>
      <c r="R17" s="46"/>
    </row>
    <row r="18" spans="1:20" ht="12.5" x14ac:dyDescent="0.25">
      <c r="A18"/>
      <c r="B18" s="42" t="s">
        <v>61</v>
      </c>
      <c r="C18" s="42" t="s">
        <v>166</v>
      </c>
      <c r="D18" s="55"/>
      <c r="E18" s="42"/>
      <c r="F18" s="39">
        <f>15000*Index_tov_2018</f>
        <v>21300</v>
      </c>
      <c r="G18" s="43"/>
      <c r="H18" s="44">
        <f t="shared" si="0"/>
        <v>0</v>
      </c>
      <c r="I18" s="46"/>
      <c r="J18" s="46"/>
      <c r="K18" s="86"/>
      <c r="L18" s="46"/>
      <c r="M18" s="46"/>
      <c r="N18" s="86"/>
      <c r="O18" s="48">
        <f t="shared" si="1"/>
        <v>0</v>
      </c>
      <c r="R18" s="39">
        <v>15000</v>
      </c>
      <c r="S18" s="45">
        <f>R18*1.42</f>
        <v>21300</v>
      </c>
      <c r="T18" s="1">
        <f>S18-F18</f>
        <v>0</v>
      </c>
    </row>
    <row r="19" spans="1:20" ht="6.65" customHeight="1" x14ac:dyDescent="0.25">
      <c r="A19"/>
      <c r="B19" s="48"/>
      <c r="C19" s="48"/>
      <c r="D19" s="48"/>
      <c r="E19" s="48"/>
      <c r="F19" s="48"/>
      <c r="G19" s="49"/>
      <c r="H19" s="48"/>
      <c r="I19" s="48"/>
      <c r="J19" s="49"/>
      <c r="K19" s="48"/>
      <c r="L19" s="48"/>
      <c r="M19" s="49"/>
      <c r="N19" s="48"/>
      <c r="O19" s="48"/>
      <c r="R19" s="48"/>
    </row>
    <row r="20" spans="1:20" ht="12.5" x14ac:dyDescent="0.25">
      <c r="A20"/>
      <c r="B20" s="42" t="s">
        <v>34</v>
      </c>
      <c r="C20" s="42" t="s">
        <v>164</v>
      </c>
      <c r="D20" s="55"/>
      <c r="E20" s="42" t="s">
        <v>221</v>
      </c>
      <c r="F20" s="39">
        <f>1000*Index_tov_2018</f>
        <v>1420</v>
      </c>
      <c r="G20" s="43"/>
      <c r="H20" s="44">
        <f t="shared" si="0"/>
        <v>0</v>
      </c>
      <c r="I20" s="46"/>
      <c r="J20" s="46"/>
      <c r="K20" s="86"/>
      <c r="L20" s="46"/>
      <c r="M20" s="46"/>
      <c r="N20" s="86"/>
      <c r="O20" s="48">
        <f t="shared" ref="O20:O24" si="4">+N20+K20+H20</f>
        <v>0</v>
      </c>
      <c r="R20" s="39">
        <v>1000</v>
      </c>
      <c r="S20" s="45">
        <f t="shared" ref="S20:S24" si="5">R20*1.42</f>
        <v>1420</v>
      </c>
      <c r="T20" s="1">
        <f t="shared" ref="T20:T24" si="6">S20-F20</f>
        <v>0</v>
      </c>
    </row>
    <row r="21" spans="1:20" ht="12.5" x14ac:dyDescent="0.25">
      <c r="A21"/>
      <c r="B21" s="42" t="s">
        <v>35</v>
      </c>
      <c r="C21" s="42"/>
      <c r="D21" s="55"/>
      <c r="E21" s="42" t="s">
        <v>149</v>
      </c>
      <c r="F21" s="39">
        <f>2500*Index_tov_2018</f>
        <v>3550</v>
      </c>
      <c r="G21" s="43"/>
      <c r="H21" s="44">
        <f t="shared" si="0"/>
        <v>0</v>
      </c>
      <c r="I21" s="46"/>
      <c r="J21" s="46"/>
      <c r="K21" s="86"/>
      <c r="L21" s="46"/>
      <c r="M21" s="46"/>
      <c r="N21" s="86"/>
      <c r="O21" s="48">
        <f t="shared" si="4"/>
        <v>0</v>
      </c>
      <c r="P21" s="1"/>
      <c r="R21" s="39">
        <v>2500</v>
      </c>
      <c r="S21" s="45">
        <f t="shared" si="5"/>
        <v>3550</v>
      </c>
      <c r="T21" s="1">
        <f t="shared" si="6"/>
        <v>0</v>
      </c>
    </row>
    <row r="22" spans="1:20" ht="12.5" x14ac:dyDescent="0.25">
      <c r="A22"/>
      <c r="B22" s="42" t="s">
        <v>36</v>
      </c>
      <c r="C22" s="42"/>
      <c r="D22" s="55"/>
      <c r="E22" s="42" t="s">
        <v>150</v>
      </c>
      <c r="F22" s="39">
        <f>1500*Index_tov_2018</f>
        <v>2130</v>
      </c>
      <c r="G22" s="43"/>
      <c r="H22" s="44">
        <f t="shared" si="0"/>
        <v>0</v>
      </c>
      <c r="I22" s="46"/>
      <c r="J22" s="46"/>
      <c r="K22" s="86"/>
      <c r="L22" s="46"/>
      <c r="M22" s="46"/>
      <c r="N22" s="86"/>
      <c r="O22" s="48">
        <f t="shared" si="4"/>
        <v>0</v>
      </c>
      <c r="P22" s="1"/>
      <c r="R22" s="39">
        <v>1500</v>
      </c>
      <c r="S22" s="45">
        <f t="shared" si="5"/>
        <v>2130</v>
      </c>
      <c r="T22" s="1">
        <f t="shared" si="6"/>
        <v>0</v>
      </c>
    </row>
    <row r="23" spans="1:20" ht="12.5" x14ac:dyDescent="0.25">
      <c r="A23"/>
      <c r="B23" s="42" t="s">
        <v>37</v>
      </c>
      <c r="C23" s="42"/>
      <c r="D23" s="55"/>
      <c r="E23" s="42" t="s">
        <v>151</v>
      </c>
      <c r="F23" s="39">
        <f>1000*Index_tov_2018</f>
        <v>1420</v>
      </c>
      <c r="G23" s="43"/>
      <c r="H23" s="44">
        <f t="shared" si="0"/>
        <v>0</v>
      </c>
      <c r="I23" s="46"/>
      <c r="J23" s="46"/>
      <c r="K23" s="86"/>
      <c r="L23" s="46"/>
      <c r="M23" s="46"/>
      <c r="N23" s="86"/>
      <c r="O23" s="48">
        <f t="shared" si="4"/>
        <v>0</v>
      </c>
      <c r="P23" s="1"/>
      <c r="R23" s="39">
        <v>1000</v>
      </c>
      <c r="S23" s="45">
        <f t="shared" si="5"/>
        <v>1420</v>
      </c>
      <c r="T23" s="1">
        <f t="shared" si="6"/>
        <v>0</v>
      </c>
    </row>
    <row r="24" spans="1:20" ht="12.5" x14ac:dyDescent="0.25">
      <c r="A24"/>
      <c r="B24" s="42" t="s">
        <v>62</v>
      </c>
      <c r="C24" s="42"/>
      <c r="D24" s="55"/>
      <c r="E24" s="42" t="s">
        <v>152</v>
      </c>
      <c r="F24" s="39">
        <f>800*Index_tov_2018</f>
        <v>1136</v>
      </c>
      <c r="G24" s="43"/>
      <c r="H24" s="44">
        <f t="shared" si="0"/>
        <v>0</v>
      </c>
      <c r="I24" s="46"/>
      <c r="J24" s="46"/>
      <c r="K24" s="86"/>
      <c r="L24" s="46"/>
      <c r="M24" s="46"/>
      <c r="N24" s="86"/>
      <c r="O24" s="48">
        <f t="shared" si="4"/>
        <v>0</v>
      </c>
      <c r="R24" s="39">
        <v>800</v>
      </c>
      <c r="S24" s="45">
        <f t="shared" si="5"/>
        <v>1136</v>
      </c>
      <c r="T24" s="1">
        <f t="shared" si="6"/>
        <v>0</v>
      </c>
    </row>
    <row r="25" spans="1:20" ht="6.65" customHeight="1" x14ac:dyDescent="0.25">
      <c r="A25"/>
      <c r="B25" s="48"/>
      <c r="C25" s="48"/>
      <c r="D25" s="48"/>
      <c r="E25" s="48"/>
      <c r="F25" s="48"/>
      <c r="G25" s="49"/>
      <c r="H25" s="48"/>
      <c r="I25" s="48"/>
      <c r="J25" s="49"/>
      <c r="K25" s="48"/>
      <c r="L25" s="48"/>
      <c r="M25" s="49"/>
      <c r="N25" s="48"/>
      <c r="O25" s="48"/>
    </row>
    <row r="27" spans="1:20" x14ac:dyDescent="0.3">
      <c r="B27" s="87"/>
      <c r="J27" s="3"/>
      <c r="M27" s="3"/>
    </row>
    <row r="28" spans="1:20" x14ac:dyDescent="0.3">
      <c r="A28" s="2" t="s">
        <v>25</v>
      </c>
      <c r="B28" s="33" t="s">
        <v>194</v>
      </c>
      <c r="C28" s="34"/>
      <c r="D28" s="34"/>
      <c r="E28" s="34"/>
      <c r="F28" s="35"/>
      <c r="G28" s="114" t="s">
        <v>16</v>
      </c>
      <c r="H28" s="114"/>
      <c r="I28" s="39"/>
      <c r="J28" s="114" t="s">
        <v>21</v>
      </c>
      <c r="K28" s="114"/>
      <c r="L28" s="39"/>
      <c r="M28" s="114" t="s">
        <v>17</v>
      </c>
      <c r="N28" s="114"/>
      <c r="O28" s="57" t="s">
        <v>46</v>
      </c>
      <c r="R28" s="35"/>
    </row>
    <row r="29" spans="1:20" x14ac:dyDescent="0.3">
      <c r="B29" s="34"/>
      <c r="C29" s="34"/>
      <c r="D29" s="37"/>
      <c r="E29" s="34"/>
      <c r="F29" s="39" t="s">
        <v>186</v>
      </c>
      <c r="G29" s="40" t="s">
        <v>8</v>
      </c>
      <c r="H29" s="40" t="s">
        <v>7</v>
      </c>
      <c r="I29" s="39" t="s">
        <v>67</v>
      </c>
      <c r="J29" s="40" t="s">
        <v>8</v>
      </c>
      <c r="K29" s="40" t="s">
        <v>7</v>
      </c>
      <c r="L29" s="39" t="s">
        <v>67</v>
      </c>
      <c r="M29" s="40" t="s">
        <v>8</v>
      </c>
      <c r="N29" s="40" t="s">
        <v>7</v>
      </c>
      <c r="O29" s="53">
        <f>SUM(O30:O35)</f>
        <v>0</v>
      </c>
      <c r="R29" s="39" t="s">
        <v>186</v>
      </c>
    </row>
    <row r="30" spans="1:20" x14ac:dyDescent="0.3">
      <c r="B30" s="42" t="s">
        <v>42</v>
      </c>
      <c r="C30" s="42"/>
      <c r="D30" s="55"/>
      <c r="E30" s="42" t="s">
        <v>153</v>
      </c>
      <c r="F30" s="39">
        <f>1600*Index_tov_2018</f>
        <v>2272</v>
      </c>
      <c r="G30" s="43"/>
      <c r="H30" s="44">
        <f t="shared" ref="H30:H31" si="7">ROUNDUP(+G30*F30*F$7,-1)</f>
        <v>0</v>
      </c>
      <c r="I30" s="46"/>
      <c r="J30" s="46"/>
      <c r="K30" s="86"/>
      <c r="L30" s="46"/>
      <c r="M30" s="46"/>
      <c r="N30" s="86"/>
      <c r="O30" s="48">
        <f t="shared" ref="O30:O33" si="8">+N30+K30+H30</f>
        <v>0</v>
      </c>
      <c r="R30" s="39">
        <v>1600</v>
      </c>
      <c r="S30" s="45">
        <f t="shared" ref="S30:S31" si="9">R30*1.42</f>
        <v>2272</v>
      </c>
      <c r="T30" s="1">
        <f t="shared" ref="T30:T31" si="10">S30-F30</f>
        <v>0</v>
      </c>
    </row>
    <row r="31" spans="1:20" x14ac:dyDescent="0.3">
      <c r="B31" s="42" t="s">
        <v>43</v>
      </c>
      <c r="C31" s="42"/>
      <c r="D31" s="55"/>
      <c r="E31" s="42" t="s">
        <v>154</v>
      </c>
      <c r="F31" s="39">
        <f>10000*Index_tov_2018</f>
        <v>14200</v>
      </c>
      <c r="G31" s="43"/>
      <c r="H31" s="44">
        <f t="shared" si="7"/>
        <v>0</v>
      </c>
      <c r="I31" s="46"/>
      <c r="J31" s="46"/>
      <c r="K31" s="86"/>
      <c r="L31" s="46"/>
      <c r="M31" s="46"/>
      <c r="N31" s="86"/>
      <c r="O31" s="48">
        <f t="shared" si="8"/>
        <v>0</v>
      </c>
      <c r="R31" s="39">
        <v>10000</v>
      </c>
      <c r="S31" s="45">
        <f t="shared" si="9"/>
        <v>14200</v>
      </c>
      <c r="T31" s="1">
        <f t="shared" si="10"/>
        <v>0</v>
      </c>
    </row>
    <row r="32" spans="1:20" hidden="1" x14ac:dyDescent="0.3">
      <c r="B32" s="42" t="s">
        <v>44</v>
      </c>
      <c r="C32" s="45"/>
      <c r="D32" s="55"/>
      <c r="E32" s="42"/>
      <c r="F32" s="39"/>
      <c r="G32" s="43"/>
      <c r="H32" s="48">
        <f>+($J$27+2*$M$27+2*$D32)*$D32*G32*F32</f>
        <v>0</v>
      </c>
      <c r="I32" s="46"/>
      <c r="J32" s="46"/>
      <c r="K32" s="86"/>
      <c r="L32" s="46"/>
      <c r="M32" s="46"/>
      <c r="N32" s="86"/>
      <c r="O32" s="48">
        <f t="shared" si="8"/>
        <v>0</v>
      </c>
      <c r="R32" s="39"/>
    </row>
    <row r="33" spans="1:26" hidden="1" x14ac:dyDescent="0.3">
      <c r="B33" s="42" t="s">
        <v>45</v>
      </c>
      <c r="C33" s="45"/>
      <c r="D33" s="55"/>
      <c r="E33" s="42"/>
      <c r="F33" s="39"/>
      <c r="G33" s="43"/>
      <c r="H33" s="48">
        <f>+($J$27+2*$M$27+2*$D33)*$D33*G33*F33</f>
        <v>0</v>
      </c>
      <c r="I33" s="46"/>
      <c r="J33" s="46"/>
      <c r="K33" s="86"/>
      <c r="L33" s="46"/>
      <c r="M33" s="46"/>
      <c r="N33" s="86"/>
      <c r="O33" s="48">
        <f t="shared" si="8"/>
        <v>0</v>
      </c>
      <c r="R33" s="39"/>
    </row>
    <row r="34" spans="1:26" hidden="1" x14ac:dyDescent="0.3">
      <c r="D34" s="52"/>
      <c r="F34" s="39"/>
      <c r="G34" s="43"/>
      <c r="H34" s="48"/>
      <c r="I34" s="39">
        <v>7.81</v>
      </c>
      <c r="J34" s="43"/>
      <c r="K34" s="48"/>
      <c r="L34" s="39"/>
      <c r="M34" s="43"/>
      <c r="N34" s="48"/>
      <c r="O34" s="48"/>
      <c r="R34" s="39"/>
    </row>
    <row r="35" spans="1:26" ht="6.65" customHeight="1" x14ac:dyDescent="0.3">
      <c r="B35" s="49"/>
      <c r="C35" s="49"/>
      <c r="D35" s="49"/>
      <c r="E35" s="49"/>
      <c r="F35" s="49"/>
      <c r="G35" s="49"/>
      <c r="H35" s="48"/>
      <c r="I35" s="48"/>
      <c r="J35" s="49"/>
      <c r="K35" s="48"/>
      <c r="L35" s="48"/>
      <c r="M35" s="49"/>
      <c r="N35" s="48"/>
      <c r="O35" s="48"/>
      <c r="R35" s="49"/>
    </row>
    <row r="36" spans="1:26" x14ac:dyDescent="0.3">
      <c r="R36" s="1"/>
    </row>
    <row r="37" spans="1:26" x14ac:dyDescent="0.3">
      <c r="A37" s="2" t="s">
        <v>26</v>
      </c>
      <c r="B37" s="33" t="s">
        <v>195</v>
      </c>
      <c r="C37" s="34"/>
      <c r="D37" s="34"/>
      <c r="E37" s="34"/>
      <c r="F37" s="39"/>
      <c r="G37" s="114" t="s">
        <v>16</v>
      </c>
      <c r="H37" s="114"/>
      <c r="I37" s="53"/>
      <c r="J37" s="114" t="s">
        <v>21</v>
      </c>
      <c r="K37" s="114"/>
      <c r="L37" s="53"/>
      <c r="M37" s="114" t="s">
        <v>17</v>
      </c>
      <c r="N37" s="114"/>
      <c r="O37" s="57" t="s">
        <v>46</v>
      </c>
      <c r="R37" s="39"/>
      <c r="U37" s="53"/>
      <c r="X37" s="53"/>
    </row>
    <row r="38" spans="1:26" x14ac:dyDescent="0.3">
      <c r="B38" s="34"/>
      <c r="C38" s="34"/>
      <c r="D38" s="37"/>
      <c r="E38" s="34"/>
      <c r="F38" s="39" t="s">
        <v>187</v>
      </c>
      <c r="G38" s="40" t="s">
        <v>8</v>
      </c>
      <c r="H38" s="40" t="s">
        <v>7</v>
      </c>
      <c r="I38" s="54" t="s">
        <v>6</v>
      </c>
      <c r="J38" s="40" t="s">
        <v>8</v>
      </c>
      <c r="K38" s="40" t="s">
        <v>7</v>
      </c>
      <c r="L38" s="54" t="s">
        <v>6</v>
      </c>
      <c r="M38" s="40" t="s">
        <v>8</v>
      </c>
      <c r="N38" s="40" t="s">
        <v>7</v>
      </c>
      <c r="O38" s="53">
        <f>SUM(O39:O50)</f>
        <v>0</v>
      </c>
      <c r="R38" s="39" t="s">
        <v>187</v>
      </c>
      <c r="U38" s="54" t="s">
        <v>6</v>
      </c>
      <c r="X38" s="54" t="s">
        <v>6</v>
      </c>
    </row>
    <row r="39" spans="1:26" ht="12.5" x14ac:dyDescent="0.25">
      <c r="A39"/>
      <c r="B39" s="42"/>
      <c r="C39" s="42"/>
      <c r="D39" s="55"/>
      <c r="E39" s="42"/>
      <c r="F39" s="39"/>
      <c r="G39" s="43"/>
      <c r="H39" s="44">
        <f t="shared" ref="H39:H43" si="11">ROUNDUP(+G39*F39*F$7,-1)</f>
        <v>0</v>
      </c>
      <c r="I39" s="39"/>
      <c r="J39" s="43"/>
      <c r="K39" s="44">
        <f t="shared" ref="K39:K41" si="12">ROUNDUP(+J39*I39*I$7,-1)</f>
        <v>0</v>
      </c>
      <c r="L39" s="39"/>
      <c r="M39" s="43"/>
      <c r="N39" s="44">
        <f t="shared" ref="N39:N41" si="13">ROUNDUP(+M39*L39*L$7,-1)</f>
        <v>0</v>
      </c>
      <c r="O39" s="48">
        <f t="shared" ref="O39:O41" si="14">+N39+K39+H39</f>
        <v>0</v>
      </c>
      <c r="R39" s="39"/>
      <c r="U39" s="39"/>
      <c r="X39" s="39"/>
    </row>
    <row r="40" spans="1:26" ht="12.5" x14ac:dyDescent="0.25">
      <c r="A40"/>
      <c r="B40" s="42" t="s">
        <v>106</v>
      </c>
      <c r="C40" s="42" t="s">
        <v>93</v>
      </c>
      <c r="D40" s="55"/>
      <c r="E40" s="42" t="s">
        <v>75</v>
      </c>
      <c r="F40" s="39">
        <f>15.75*Index_tov_2018</f>
        <v>22.364999999999998</v>
      </c>
      <c r="G40" s="43"/>
      <c r="H40" s="44">
        <f t="shared" si="11"/>
        <v>0</v>
      </c>
      <c r="I40" s="39">
        <f>12*Index_tov_2018</f>
        <v>17.04</v>
      </c>
      <c r="J40" s="43"/>
      <c r="K40" s="44">
        <f t="shared" si="12"/>
        <v>0</v>
      </c>
      <c r="L40" s="39">
        <f>10*Index_tov_2018</f>
        <v>14.2</v>
      </c>
      <c r="M40" s="43"/>
      <c r="N40" s="44">
        <f t="shared" si="13"/>
        <v>0</v>
      </c>
      <c r="O40" s="48">
        <f t="shared" si="14"/>
        <v>0</v>
      </c>
      <c r="R40" s="39">
        <v>15.75</v>
      </c>
      <c r="S40" s="45">
        <f t="shared" ref="S40:S41" si="15">R40*1.42</f>
        <v>22.364999999999998</v>
      </c>
      <c r="T40" s="1">
        <f t="shared" ref="T40:T41" si="16">S40-F40</f>
        <v>0</v>
      </c>
      <c r="U40" s="39">
        <v>12</v>
      </c>
      <c r="V40" s="45">
        <f t="shared" ref="V40:V41" si="17">U40*1.42</f>
        <v>17.04</v>
      </c>
      <c r="W40" s="1">
        <f t="shared" ref="W40:W41" si="18">V40-I40</f>
        <v>0</v>
      </c>
      <c r="X40" s="39">
        <v>10</v>
      </c>
      <c r="Y40" s="45">
        <f t="shared" ref="Y40:Y41" si="19">X40*1.42</f>
        <v>14.2</v>
      </c>
      <c r="Z40" s="1">
        <f t="shared" ref="Z40:Z41" si="20">Y40-L40</f>
        <v>0</v>
      </c>
    </row>
    <row r="41" spans="1:26" ht="12.5" x14ac:dyDescent="0.25">
      <c r="A41"/>
      <c r="B41" s="42" t="s">
        <v>107</v>
      </c>
      <c r="C41" s="45" t="s">
        <v>104</v>
      </c>
      <c r="D41" s="55"/>
      <c r="E41" s="42" t="s">
        <v>105</v>
      </c>
      <c r="F41" s="39">
        <f>18.9*Index_tov_2018</f>
        <v>26.837999999999997</v>
      </c>
      <c r="G41" s="43"/>
      <c r="H41" s="44">
        <f t="shared" si="11"/>
        <v>0</v>
      </c>
      <c r="I41" s="39">
        <f>12*Index_tov_2018</f>
        <v>17.04</v>
      </c>
      <c r="J41" s="43"/>
      <c r="K41" s="44">
        <f t="shared" si="12"/>
        <v>0</v>
      </c>
      <c r="L41" s="39">
        <f>10*Index_tov_2018</f>
        <v>14.2</v>
      </c>
      <c r="M41" s="43"/>
      <c r="N41" s="44">
        <f t="shared" si="13"/>
        <v>0</v>
      </c>
      <c r="O41" s="48">
        <f t="shared" si="14"/>
        <v>0</v>
      </c>
      <c r="R41" s="39">
        <v>18.899999999999999</v>
      </c>
      <c r="S41" s="45">
        <f t="shared" si="15"/>
        <v>26.837999999999997</v>
      </c>
      <c r="T41" s="1">
        <f t="shared" si="16"/>
        <v>0</v>
      </c>
      <c r="U41" s="39">
        <v>12</v>
      </c>
      <c r="V41" s="45">
        <f t="shared" si="17"/>
        <v>17.04</v>
      </c>
      <c r="W41" s="1">
        <f t="shared" si="18"/>
        <v>0</v>
      </c>
      <c r="X41" s="39">
        <v>10</v>
      </c>
      <c r="Y41" s="45">
        <f t="shared" si="19"/>
        <v>14.2</v>
      </c>
      <c r="Z41" s="1">
        <f t="shared" si="20"/>
        <v>0</v>
      </c>
    </row>
    <row r="42" spans="1:26" x14ac:dyDescent="0.3">
      <c r="A42"/>
      <c r="B42" s="40"/>
      <c r="C42" s="40"/>
      <c r="D42" s="40"/>
      <c r="E42" s="40"/>
      <c r="F42" s="40" t="s">
        <v>6</v>
      </c>
      <c r="G42" s="40" t="s">
        <v>157</v>
      </c>
      <c r="H42" s="40" t="s">
        <v>7</v>
      </c>
      <c r="I42" s="54" t="s">
        <v>6</v>
      </c>
      <c r="J42" s="40" t="s">
        <v>157</v>
      </c>
      <c r="K42" s="40" t="s">
        <v>7</v>
      </c>
      <c r="L42" s="54" t="s">
        <v>6</v>
      </c>
      <c r="M42" s="40" t="s">
        <v>157</v>
      </c>
      <c r="N42" s="40" t="s">
        <v>7</v>
      </c>
      <c r="O42" s="57"/>
      <c r="R42" s="40" t="s">
        <v>6</v>
      </c>
      <c r="U42" s="54" t="s">
        <v>6</v>
      </c>
      <c r="X42" s="54" t="s">
        <v>6</v>
      </c>
    </row>
    <row r="43" spans="1:26" ht="12.5" x14ac:dyDescent="0.25">
      <c r="A43"/>
      <c r="B43" s="42" t="s">
        <v>163</v>
      </c>
      <c r="C43" s="42" t="s">
        <v>162</v>
      </c>
      <c r="D43" s="55"/>
      <c r="E43" s="42"/>
      <c r="F43" s="39">
        <f>3000*Index_tov_2018</f>
        <v>4260</v>
      </c>
      <c r="G43" s="43"/>
      <c r="H43" s="44">
        <f t="shared" si="11"/>
        <v>0</v>
      </c>
      <c r="I43" s="46"/>
      <c r="J43" s="46"/>
      <c r="K43" s="86"/>
      <c r="L43" s="46"/>
      <c r="M43" s="46"/>
      <c r="N43" s="86"/>
      <c r="O43" s="48">
        <f t="shared" ref="O43" si="21">+N43+K43+H43</f>
        <v>0</v>
      </c>
      <c r="R43" s="39">
        <v>3000</v>
      </c>
      <c r="U43" s="46"/>
      <c r="X43" s="46"/>
    </row>
    <row r="44" spans="1:26" ht="5.4" customHeight="1" x14ac:dyDescent="0.25">
      <c r="A44"/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U44" s="48"/>
      <c r="X44" s="48"/>
    </row>
    <row r="45" spans="1:26" ht="12.5" x14ac:dyDescent="0.25">
      <c r="A45"/>
      <c r="B45" s="42" t="s">
        <v>40</v>
      </c>
      <c r="C45" s="42" t="s">
        <v>156</v>
      </c>
      <c r="D45" s="55"/>
      <c r="E45" s="42" t="s">
        <v>155</v>
      </c>
      <c r="F45" s="46"/>
      <c r="G45" s="46"/>
      <c r="H45" s="86"/>
      <c r="I45" s="39">
        <f>1500*Index_tov_2018</f>
        <v>2130</v>
      </c>
      <c r="J45" s="43"/>
      <c r="K45" s="44">
        <f t="shared" ref="K45" si="22">ROUNDUP(+J45*I45*I$7,-1)</f>
        <v>0</v>
      </c>
      <c r="L45" s="46"/>
      <c r="M45" s="46"/>
      <c r="N45" s="86"/>
      <c r="O45" s="48">
        <f t="shared" ref="O45" si="23">+N45+K45+H45</f>
        <v>0</v>
      </c>
      <c r="U45" s="39">
        <v>1500</v>
      </c>
      <c r="V45" s="45">
        <f>U45*1.42</f>
        <v>2130</v>
      </c>
      <c r="W45" s="1">
        <f>V45-I45</f>
        <v>0</v>
      </c>
      <c r="X45" s="46"/>
    </row>
    <row r="46" spans="1:26" ht="12.5" x14ac:dyDescent="0.25">
      <c r="A46"/>
      <c r="B46" s="42"/>
      <c r="C46" s="42" t="s">
        <v>161</v>
      </c>
      <c r="D46" s="55"/>
      <c r="E46" s="42" t="s">
        <v>158</v>
      </c>
      <c r="F46" s="46"/>
      <c r="G46" s="46"/>
      <c r="H46" s="86"/>
      <c r="I46" s="46"/>
      <c r="J46" s="46"/>
      <c r="K46" s="86"/>
      <c r="L46" s="46"/>
      <c r="M46" s="46"/>
      <c r="N46" s="86"/>
      <c r="O46" s="48"/>
      <c r="X46" s="46"/>
    </row>
    <row r="47" spans="1:26" ht="7.25" customHeight="1" x14ac:dyDescent="0.25">
      <c r="A47"/>
      <c r="B47" s="48"/>
      <c r="C47" s="48"/>
      <c r="D47" s="48"/>
      <c r="E47" s="48"/>
      <c r="F47" s="48"/>
      <c r="G47" s="48"/>
      <c r="H47" s="48"/>
      <c r="I47" s="48"/>
      <c r="J47" s="48"/>
      <c r="K47" s="48"/>
      <c r="L47" s="48"/>
      <c r="M47" s="48"/>
      <c r="N47" s="48"/>
      <c r="O47" s="48"/>
      <c r="X47" s="48"/>
    </row>
    <row r="48" spans="1:26" ht="12.5" x14ac:dyDescent="0.25">
      <c r="A48"/>
      <c r="B48" s="42" t="s">
        <v>108</v>
      </c>
      <c r="C48" s="88" t="s">
        <v>160</v>
      </c>
      <c r="D48" s="55"/>
      <c r="E48" s="42" t="s">
        <v>159</v>
      </c>
      <c r="F48" s="46"/>
      <c r="G48" s="46"/>
      <c r="H48" s="86"/>
      <c r="I48" s="46"/>
      <c r="J48" s="46"/>
      <c r="K48" s="86"/>
      <c r="L48" s="39">
        <f>5000*Index_tov_2018</f>
        <v>7100</v>
      </c>
      <c r="M48" s="43"/>
      <c r="N48" s="44">
        <f t="shared" ref="N48" si="24">ROUNDUP(+M48*L48*L$7,-1)</f>
        <v>0</v>
      </c>
      <c r="O48" s="48">
        <f>+N48+K48+H48</f>
        <v>0</v>
      </c>
      <c r="X48" s="39">
        <v>5000</v>
      </c>
      <c r="Y48" s="45">
        <f>X48*1.42</f>
        <v>7100</v>
      </c>
      <c r="Z48" s="1">
        <f>Y48-L48</f>
        <v>0</v>
      </c>
    </row>
    <row r="49" spans="1:15" ht="12.5" x14ac:dyDescent="0.25">
      <c r="A49"/>
      <c r="B49" s="42"/>
      <c r="C49" s="88" t="s">
        <v>161</v>
      </c>
      <c r="D49" s="55"/>
      <c r="E49" s="42"/>
      <c r="F49" s="46"/>
      <c r="G49" s="46"/>
      <c r="H49" s="86"/>
      <c r="I49" s="46"/>
      <c r="J49" s="46"/>
      <c r="K49" s="86"/>
      <c r="L49" s="46"/>
      <c r="M49" s="46"/>
      <c r="N49" s="86"/>
      <c r="O49" s="48"/>
    </row>
    <row r="50" spans="1:15" ht="6.65" customHeight="1" x14ac:dyDescent="0.3">
      <c r="B50" s="49"/>
      <c r="C50" s="49"/>
      <c r="D50" s="49"/>
      <c r="E50" s="49"/>
      <c r="F50" s="49"/>
      <c r="G50" s="49"/>
      <c r="H50" s="48"/>
      <c r="I50" s="48"/>
      <c r="J50" s="49"/>
      <c r="K50" s="48"/>
      <c r="L50" s="48"/>
      <c r="M50" s="49"/>
      <c r="N50" s="48"/>
      <c r="O50" s="48"/>
    </row>
    <row r="51" spans="1:15" x14ac:dyDescent="0.3">
      <c r="B51" s="40"/>
      <c r="C51" s="57" t="s">
        <v>170</v>
      </c>
      <c r="D51" s="40"/>
      <c r="E51" s="40"/>
      <c r="F51" s="40"/>
      <c r="G51" s="40"/>
      <c r="H51" s="54">
        <f>SUM(H9:H50)</f>
        <v>0</v>
      </c>
      <c r="I51" s="40"/>
      <c r="J51" s="40"/>
      <c r="K51" s="54">
        <f>SUM(K9:K50)</f>
        <v>0</v>
      </c>
      <c r="L51" s="40"/>
      <c r="M51" s="40"/>
      <c r="N51" s="54">
        <f>SUM(N9:N50)</f>
        <v>0</v>
      </c>
      <c r="O51" s="54">
        <f>SUM(O9:O50)</f>
        <v>0</v>
      </c>
    </row>
    <row r="52" spans="1:15" hidden="1" x14ac:dyDescent="0.3">
      <c r="B52" s="58"/>
      <c r="C52" s="58" t="s">
        <v>169</v>
      </c>
      <c r="D52" s="59"/>
      <c r="E52" s="58"/>
      <c r="F52" s="39"/>
      <c r="G52" s="58"/>
      <c r="H52" s="39">
        <f>+H51*$M$2</f>
        <v>0</v>
      </c>
      <c r="I52" s="39"/>
      <c r="J52" s="58"/>
      <c r="K52" s="39">
        <f>+K51*$M$2</f>
        <v>0</v>
      </c>
      <c r="L52" s="39"/>
      <c r="M52" s="58"/>
      <c r="N52" s="39">
        <f>+N51*$M$2</f>
        <v>0</v>
      </c>
      <c r="O52" s="39">
        <f>+O51*$M$2</f>
        <v>0</v>
      </c>
    </row>
    <row r="53" spans="1:15" hidden="1" x14ac:dyDescent="0.3">
      <c r="B53" s="58"/>
      <c r="C53" s="61" t="s">
        <v>98</v>
      </c>
      <c r="D53" s="62"/>
      <c r="E53" s="61"/>
      <c r="F53" s="63"/>
      <c r="G53" s="61"/>
      <c r="H53" s="39">
        <f>+H52+H51</f>
        <v>0</v>
      </c>
      <c r="I53" s="39"/>
      <c r="J53" s="58"/>
      <c r="K53" s="39">
        <f>+K52+K51</f>
        <v>0</v>
      </c>
      <c r="L53" s="39"/>
      <c r="M53" s="58"/>
      <c r="N53" s="39">
        <f>+N52+N51</f>
        <v>0</v>
      </c>
      <c r="O53" s="63">
        <f>+O52+O51</f>
        <v>0</v>
      </c>
    </row>
    <row r="54" spans="1:15" x14ac:dyDescent="0.3">
      <c r="I54"/>
      <c r="L54"/>
    </row>
    <row r="56" spans="1:15" x14ac:dyDescent="0.3">
      <c r="A56" s="2" t="s">
        <v>27</v>
      </c>
      <c r="B56" s="65" t="s">
        <v>201</v>
      </c>
      <c r="C56" s="65"/>
      <c r="D56" s="65" t="s">
        <v>99</v>
      </c>
      <c r="E56" s="65"/>
      <c r="F56" s="65"/>
      <c r="G56" s="112" t="s">
        <v>9</v>
      </c>
      <c r="H56" s="112"/>
      <c r="I56" s="67"/>
      <c r="J56" s="113" t="s">
        <v>47</v>
      </c>
      <c r="K56" s="113"/>
      <c r="L56" s="67"/>
      <c r="M56" s="113" t="s">
        <v>10</v>
      </c>
      <c r="N56" s="113"/>
      <c r="O56" s="68" t="s">
        <v>46</v>
      </c>
    </row>
    <row r="57" spans="1:15" x14ac:dyDescent="0.3">
      <c r="B57" s="71"/>
      <c r="C57" s="71"/>
      <c r="D57" s="71"/>
      <c r="E57" s="71"/>
      <c r="F57" s="71"/>
      <c r="G57" s="71" t="s">
        <v>49</v>
      </c>
      <c r="H57" s="71" t="s">
        <v>7</v>
      </c>
      <c r="I57" s="67" t="s">
        <v>6</v>
      </c>
      <c r="J57" s="71" t="s">
        <v>49</v>
      </c>
      <c r="K57" s="71" t="s">
        <v>7</v>
      </c>
      <c r="L57" s="67" t="s">
        <v>6</v>
      </c>
      <c r="M57" s="71" t="s">
        <v>49</v>
      </c>
      <c r="N57" s="71" t="s">
        <v>7</v>
      </c>
      <c r="O57" s="89">
        <f>SUM(O58:O72)</f>
        <v>0</v>
      </c>
    </row>
    <row r="58" spans="1:15" x14ac:dyDescent="0.3">
      <c r="B58" t="s">
        <v>222</v>
      </c>
      <c r="C58" s="43" t="s">
        <v>52</v>
      </c>
      <c r="D58" s="38"/>
      <c r="E58" s="43"/>
      <c r="G58" s="43"/>
      <c r="H58" s="90">
        <v>0</v>
      </c>
      <c r="J58" s="43"/>
      <c r="K58" s="90">
        <v>0</v>
      </c>
      <c r="M58" s="43"/>
      <c r="N58" s="90">
        <v>0</v>
      </c>
      <c r="O58" s="48">
        <f t="shared" ref="O58:O71" si="25">+N58+K58+H58</f>
        <v>0</v>
      </c>
    </row>
    <row r="59" spans="1:15" x14ac:dyDescent="0.3">
      <c r="B59" t="s">
        <v>223</v>
      </c>
      <c r="C59" s="43" t="s">
        <v>206</v>
      </c>
      <c r="D59" s="38"/>
      <c r="E59" s="43"/>
      <c r="G59" s="43"/>
      <c r="H59" s="90">
        <v>0</v>
      </c>
      <c r="J59" s="43"/>
      <c r="K59" s="90">
        <v>0</v>
      </c>
      <c r="M59" s="43"/>
      <c r="N59" s="90">
        <v>0</v>
      </c>
      <c r="O59" s="48">
        <f t="shared" si="25"/>
        <v>0</v>
      </c>
    </row>
    <row r="60" spans="1:15" x14ac:dyDescent="0.3">
      <c r="B60" t="s">
        <v>224</v>
      </c>
      <c r="C60" s="43" t="s">
        <v>23</v>
      </c>
      <c r="D60" s="38"/>
      <c r="E60" s="43"/>
      <c r="G60" s="43"/>
      <c r="H60" s="90">
        <v>0</v>
      </c>
      <c r="J60" s="43"/>
      <c r="K60" s="90">
        <v>0</v>
      </c>
      <c r="M60" s="43"/>
      <c r="N60" s="90">
        <v>0</v>
      </c>
      <c r="O60" s="48">
        <f t="shared" si="25"/>
        <v>0</v>
      </c>
    </row>
    <row r="61" spans="1:15" x14ac:dyDescent="0.3">
      <c r="B61" t="s">
        <v>225</v>
      </c>
      <c r="C61" s="43" t="s">
        <v>51</v>
      </c>
      <c r="D61" s="38"/>
      <c r="E61" s="43"/>
      <c r="G61" s="43"/>
      <c r="H61" s="90">
        <v>0</v>
      </c>
      <c r="J61" s="43"/>
      <c r="K61" s="90">
        <v>0</v>
      </c>
      <c r="M61" s="43"/>
      <c r="N61" s="90">
        <v>0</v>
      </c>
      <c r="O61" s="48">
        <f t="shared" si="25"/>
        <v>0</v>
      </c>
    </row>
    <row r="62" spans="1:15" x14ac:dyDescent="0.3">
      <c r="B62" t="s">
        <v>226</v>
      </c>
      <c r="C62" s="43" t="s">
        <v>207</v>
      </c>
      <c r="D62" s="38"/>
      <c r="E62" s="43"/>
      <c r="G62" s="43"/>
      <c r="H62" s="90">
        <v>0</v>
      </c>
      <c r="J62" s="43"/>
      <c r="K62" s="90">
        <v>0</v>
      </c>
      <c r="M62" s="43"/>
      <c r="N62" s="90">
        <v>0</v>
      </c>
      <c r="O62" s="48">
        <f t="shared" si="25"/>
        <v>0</v>
      </c>
    </row>
    <row r="63" spans="1:15" ht="12.5" x14ac:dyDescent="0.25">
      <c r="A63"/>
      <c r="B63" t="s">
        <v>227</v>
      </c>
      <c r="C63" s="43" t="s">
        <v>208</v>
      </c>
      <c r="D63" s="38"/>
      <c r="E63" s="43"/>
      <c r="G63" s="43"/>
      <c r="H63" s="90">
        <v>0</v>
      </c>
      <c r="J63" s="43"/>
      <c r="K63" s="90">
        <v>0</v>
      </c>
      <c r="M63" s="43"/>
      <c r="N63" s="90">
        <v>0</v>
      </c>
      <c r="O63" s="48">
        <f t="shared" si="25"/>
        <v>0</v>
      </c>
    </row>
    <row r="64" spans="1:15" ht="12.5" x14ac:dyDescent="0.25">
      <c r="A64"/>
      <c r="B64" t="s">
        <v>228</v>
      </c>
      <c r="C64" s="43" t="s">
        <v>209</v>
      </c>
      <c r="D64" s="38"/>
      <c r="E64" s="43"/>
      <c r="G64" s="43"/>
      <c r="H64" s="90">
        <v>0</v>
      </c>
      <c r="J64" s="43"/>
      <c r="K64" s="90">
        <v>0</v>
      </c>
      <c r="M64" s="43"/>
      <c r="N64" s="90">
        <v>0</v>
      </c>
      <c r="O64" s="48">
        <f t="shared" ref="O64:O66" si="26">+N64+K64+H64</f>
        <v>0</v>
      </c>
    </row>
    <row r="65" spans="1:15" ht="12.5" x14ac:dyDescent="0.25">
      <c r="A65"/>
      <c r="B65" t="s">
        <v>229</v>
      </c>
      <c r="C65" s="43" t="s">
        <v>210</v>
      </c>
      <c r="D65" s="38"/>
      <c r="E65" s="43"/>
      <c r="G65" s="43"/>
      <c r="H65" s="90">
        <v>0</v>
      </c>
      <c r="J65" s="43"/>
      <c r="K65" s="90">
        <v>0</v>
      </c>
      <c r="M65" s="43"/>
      <c r="N65" s="90">
        <v>0</v>
      </c>
      <c r="O65" s="48">
        <f t="shared" si="26"/>
        <v>0</v>
      </c>
    </row>
    <row r="66" spans="1:15" ht="12.5" x14ac:dyDescent="0.25">
      <c r="A66"/>
      <c r="B66" t="s">
        <v>230</v>
      </c>
      <c r="C66" s="43" t="s">
        <v>50</v>
      </c>
      <c r="D66" s="38"/>
      <c r="E66" s="43"/>
      <c r="G66" s="43"/>
      <c r="H66" s="90">
        <v>0</v>
      </c>
      <c r="J66" s="43"/>
      <c r="K66" s="90">
        <v>0</v>
      </c>
      <c r="M66" s="43"/>
      <c r="N66" s="90">
        <v>0</v>
      </c>
      <c r="O66" s="48">
        <f t="shared" si="26"/>
        <v>0</v>
      </c>
    </row>
    <row r="67" spans="1:15" ht="6.65" customHeight="1" x14ac:dyDescent="0.3">
      <c r="B67" s="49"/>
      <c r="C67" s="49"/>
      <c r="D67" s="49"/>
      <c r="E67" s="49"/>
      <c r="F67" s="49"/>
      <c r="G67" s="49"/>
      <c r="H67" s="48"/>
      <c r="I67" s="48"/>
      <c r="J67" s="49"/>
      <c r="K67" s="48"/>
      <c r="L67" s="48"/>
      <c r="M67" s="49"/>
      <c r="N67" s="48"/>
      <c r="O67" s="48"/>
    </row>
    <row r="68" spans="1:15" ht="12.5" x14ac:dyDescent="0.25">
      <c r="A68"/>
      <c r="B68" t="s">
        <v>231</v>
      </c>
      <c r="C68" t="s">
        <v>50</v>
      </c>
      <c r="G68" s="43"/>
      <c r="H68" s="90">
        <v>0</v>
      </c>
      <c r="J68" s="43"/>
      <c r="K68" s="90">
        <v>0</v>
      </c>
      <c r="M68" s="43"/>
      <c r="N68" s="90">
        <v>0</v>
      </c>
      <c r="O68" s="48">
        <f t="shared" si="25"/>
        <v>0</v>
      </c>
    </row>
    <row r="69" spans="1:15" ht="12.5" x14ac:dyDescent="0.25">
      <c r="A69"/>
      <c r="B69" t="s">
        <v>232</v>
      </c>
      <c r="C69" t="s">
        <v>86</v>
      </c>
      <c r="G69" s="43"/>
      <c r="H69" s="90">
        <v>0</v>
      </c>
      <c r="J69" s="43"/>
      <c r="K69" s="90">
        <v>0</v>
      </c>
      <c r="M69" s="43"/>
      <c r="N69" s="90">
        <v>0</v>
      </c>
      <c r="O69" s="48">
        <f t="shared" si="25"/>
        <v>0</v>
      </c>
    </row>
    <row r="70" spans="1:15" ht="12.5" x14ac:dyDescent="0.25">
      <c r="A70"/>
      <c r="B70" t="s">
        <v>233</v>
      </c>
      <c r="C70" t="s">
        <v>79</v>
      </c>
      <c r="G70" s="43"/>
      <c r="H70" s="90">
        <v>0</v>
      </c>
      <c r="J70" s="43"/>
      <c r="K70" s="90">
        <v>0</v>
      </c>
      <c r="M70" s="43"/>
      <c r="N70" s="90">
        <v>0</v>
      </c>
      <c r="O70" s="48">
        <f t="shared" si="25"/>
        <v>0</v>
      </c>
    </row>
    <row r="71" spans="1:15" ht="12.5" x14ac:dyDescent="0.25">
      <c r="A71"/>
      <c r="B71" t="s">
        <v>234</v>
      </c>
      <c r="C71" t="s">
        <v>78</v>
      </c>
      <c r="G71" s="43"/>
      <c r="H71" s="90">
        <v>0</v>
      </c>
      <c r="J71" s="43"/>
      <c r="K71" s="90">
        <v>0</v>
      </c>
      <c r="M71" s="43"/>
      <c r="N71" s="90">
        <v>0</v>
      </c>
      <c r="O71" s="48">
        <f t="shared" si="25"/>
        <v>0</v>
      </c>
    </row>
    <row r="72" spans="1:15" ht="6.65" customHeight="1" x14ac:dyDescent="0.25">
      <c r="A72"/>
      <c r="B72" s="49"/>
      <c r="C72" s="49"/>
      <c r="D72" s="49"/>
      <c r="E72" s="49"/>
      <c r="F72" s="49"/>
      <c r="G72" s="49"/>
      <c r="H72" s="48"/>
      <c r="I72" s="48"/>
      <c r="J72" s="49"/>
      <c r="K72" s="48"/>
      <c r="L72" s="48"/>
      <c r="M72" s="49"/>
      <c r="N72" s="48"/>
      <c r="O72" s="48"/>
    </row>
    <row r="73" spans="1:15" x14ac:dyDescent="0.3">
      <c r="A73"/>
      <c r="B73" s="58"/>
      <c r="C73" s="61" t="s">
        <v>97</v>
      </c>
      <c r="D73" s="59"/>
      <c r="E73" s="58"/>
      <c r="F73" s="73"/>
      <c r="G73" s="74"/>
      <c r="H73" s="91">
        <f>SUM(H58:H72)</f>
        <v>0</v>
      </c>
      <c r="I73" s="91"/>
      <c r="J73" s="92"/>
      <c r="K73" s="91">
        <f>SUM(K58:K72)</f>
        <v>0</v>
      </c>
      <c r="L73" s="91"/>
      <c r="M73" s="92"/>
      <c r="N73" s="91">
        <f>SUM(N58:N72)</f>
        <v>0</v>
      </c>
      <c r="O73" s="91">
        <f>SUM(O58:O72)</f>
        <v>0</v>
      </c>
    </row>
    <row r="75" spans="1:15" s="4" customFormat="1" ht="27" customHeight="1" x14ac:dyDescent="0.25">
      <c r="A75" s="77"/>
      <c r="B75" s="78"/>
      <c r="C75" s="79" t="s">
        <v>196</v>
      </c>
      <c r="D75" s="80"/>
      <c r="E75" s="78"/>
      <c r="F75" s="81"/>
      <c r="G75" s="82"/>
      <c r="H75" s="84">
        <f>+H73+H53</f>
        <v>0</v>
      </c>
      <c r="I75" s="84"/>
      <c r="J75" s="85"/>
      <c r="K75" s="84">
        <f>+K73+K53</f>
        <v>0</v>
      </c>
      <c r="L75" s="84"/>
      <c r="M75" s="85"/>
      <c r="N75" s="84">
        <f>+N73+N53</f>
        <v>0</v>
      </c>
      <c r="O75" s="84">
        <f>+O73+O53</f>
        <v>0</v>
      </c>
    </row>
  </sheetData>
  <sheetProtection sheet="1" objects="1" scenarios="1" selectLockedCells="1"/>
  <mergeCells count="12">
    <mergeCell ref="G28:H28"/>
    <mergeCell ref="J28:K28"/>
    <mergeCell ref="M28:N28"/>
    <mergeCell ref="G7:H7"/>
    <mergeCell ref="J7:K7"/>
    <mergeCell ref="M7:N7"/>
    <mergeCell ref="G56:H56"/>
    <mergeCell ref="J56:K56"/>
    <mergeCell ref="M56:N56"/>
    <mergeCell ref="G37:H37"/>
    <mergeCell ref="J37:K37"/>
    <mergeCell ref="M37:N37"/>
  </mergeCells>
  <dataValidations count="2">
    <dataValidation type="list" allowBlank="1" showInputMessage="1" showErrorMessage="1" sqref="E8" xr:uid="{00000000-0002-0000-0200-000000000000}">
      <formula1>"kleurtoeslag ja,kleurtoeslag nee"</formula1>
    </dataValidation>
    <dataValidation type="list" allowBlank="1" showInputMessage="1" showErrorMessage="1" sqref="M3:M4" xr:uid="{00000000-0002-0000-0200-000001000000}">
      <formula1>"ja,nee"</formula1>
    </dataValidation>
  </dataValidations>
  <pageMargins left="0.23622047244094491" right="0.23622047244094491" top="0.35433070866141736" bottom="0.39370078740157483" header="0" footer="0"/>
  <pageSetup paperSize="9" scale="74" orientation="portrait" horizont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AA92"/>
  <sheetViews>
    <sheetView showWhiteSpace="0" zoomScaleNormal="100" zoomScaleSheetLayoutView="90" workbookViewId="0">
      <selection activeCell="D9" sqref="D9"/>
    </sheetView>
  </sheetViews>
  <sheetFormatPr defaultRowHeight="13" x14ac:dyDescent="0.3"/>
  <cols>
    <col min="1" max="1" width="5.54296875" style="2" customWidth="1"/>
    <col min="2" max="2" width="5.90625" customWidth="1"/>
    <col min="3" max="3" width="19.453125" customWidth="1"/>
    <col min="4" max="4" width="5.6328125" style="3" customWidth="1"/>
    <col min="5" max="5" width="27.90625" customWidth="1"/>
    <col min="6" max="6" width="8.36328125" style="1" hidden="1" customWidth="1"/>
    <col min="8" max="8" width="15.36328125" style="5" customWidth="1"/>
    <col min="9" max="9" width="13" style="1" hidden="1" customWidth="1"/>
    <col min="11" max="11" width="14.453125" style="5" customWidth="1"/>
    <col min="12" max="12" width="19.453125" style="1" hidden="1" customWidth="1"/>
    <col min="14" max="14" width="14.6328125" style="5" customWidth="1"/>
    <col min="15" max="15" width="15.453125" style="5" customWidth="1"/>
    <col min="17" max="17" width="13.36328125" hidden="1" customWidth="1"/>
    <col min="18" max="18" width="16.90625" hidden="1" customWidth="1"/>
    <col min="19" max="20" width="0" hidden="1" customWidth="1"/>
    <col min="21" max="21" width="14.90625" hidden="1" customWidth="1"/>
    <col min="22" max="22" width="15.453125" hidden="1" customWidth="1"/>
    <col min="23" max="24" width="0" hidden="1" customWidth="1"/>
    <col min="25" max="25" width="18.6328125" hidden="1" customWidth="1"/>
    <col min="26" max="26" width="12.453125" hidden="1" customWidth="1"/>
    <col min="27" max="29" width="0" hidden="1" customWidth="1"/>
  </cols>
  <sheetData>
    <row r="1" spans="2:27" ht="13.5" thickBot="1" x14ac:dyDescent="0.35">
      <c r="Q1" s="111" t="s">
        <v>243</v>
      </c>
      <c r="R1" s="111"/>
      <c r="S1" s="111"/>
      <c r="T1" s="111"/>
      <c r="U1" s="111"/>
      <c r="V1" s="111"/>
      <c r="W1" s="111"/>
      <c r="X1" s="111"/>
      <c r="Y1" s="111"/>
      <c r="Z1" s="111"/>
      <c r="AA1" s="111"/>
    </row>
    <row r="2" spans="2:27" ht="14.5" x14ac:dyDescent="0.35">
      <c r="B2" s="6" t="s">
        <v>0</v>
      </c>
      <c r="C2" s="9"/>
      <c r="D2" s="9"/>
      <c r="E2" s="8"/>
      <c r="F2" s="9"/>
      <c r="G2" s="9"/>
      <c r="H2" s="10" t="s">
        <v>94</v>
      </c>
      <c r="I2" s="9"/>
      <c r="J2" s="11"/>
      <c r="K2" s="11"/>
      <c r="L2" s="9"/>
      <c r="M2" s="12">
        <v>0.8</v>
      </c>
      <c r="N2" s="13" t="str">
        <f>IF(M2=80%,"","onderbouwing opslagen bijvoegen")</f>
        <v/>
      </c>
      <c r="O2" s="14"/>
      <c r="Q2" s="99" t="s">
        <v>236</v>
      </c>
      <c r="R2" s="95"/>
    </row>
    <row r="3" spans="2:27" ht="14.5" x14ac:dyDescent="0.35">
      <c r="B3" s="15" t="s">
        <v>2</v>
      </c>
      <c r="C3" s="18"/>
      <c r="D3" s="18"/>
      <c r="E3" s="17"/>
      <c r="F3" s="18"/>
      <c r="G3" s="18"/>
      <c r="H3" s="19" t="s">
        <v>96</v>
      </c>
      <c r="I3" s="18"/>
      <c r="J3" s="20"/>
      <c r="K3" s="20"/>
      <c r="L3" s="18"/>
      <c r="M3" s="21" t="s">
        <v>211</v>
      </c>
      <c r="N3" s="22" t="str">
        <f>IF(M3="nee","","onderbouwing opslagen bijvoegen")</f>
        <v/>
      </c>
      <c r="O3" s="23"/>
      <c r="Q3" s="98" t="s">
        <v>237</v>
      </c>
      <c r="R3" s="108">
        <v>1.42</v>
      </c>
      <c r="S3" s="109" t="s">
        <v>241</v>
      </c>
      <c r="T3" s="110" t="s">
        <v>242</v>
      </c>
    </row>
    <row r="4" spans="2:27" ht="15" thickBot="1" x14ac:dyDescent="0.4">
      <c r="B4" s="24" t="s">
        <v>1</v>
      </c>
      <c r="C4" s="27"/>
      <c r="D4" s="27"/>
      <c r="E4" s="26"/>
      <c r="F4" s="27"/>
      <c r="G4" s="27"/>
      <c r="H4" s="28" t="s">
        <v>95</v>
      </c>
      <c r="I4" s="27"/>
      <c r="J4" s="29"/>
      <c r="K4" s="29"/>
      <c r="L4" s="27"/>
      <c r="M4" s="30" t="s">
        <v>211</v>
      </c>
      <c r="N4" s="31" t="str">
        <f>IF(M4="nee","","onderbouwing bijvoegen")</f>
        <v/>
      </c>
      <c r="O4" s="32"/>
      <c r="Q4" s="96" t="s">
        <v>235</v>
      </c>
      <c r="R4" s="97"/>
    </row>
    <row r="6" spans="2:27" x14ac:dyDescent="0.3">
      <c r="B6" s="33" t="s">
        <v>171</v>
      </c>
      <c r="C6" s="34"/>
      <c r="D6" s="34"/>
      <c r="E6" s="34"/>
      <c r="F6" s="35">
        <v>1</v>
      </c>
      <c r="G6" s="114" t="s">
        <v>19</v>
      </c>
      <c r="H6" s="114"/>
      <c r="I6" s="35">
        <v>1</v>
      </c>
      <c r="J6" s="114" t="s">
        <v>58</v>
      </c>
      <c r="K6" s="114"/>
      <c r="L6" s="35">
        <v>1</v>
      </c>
      <c r="M6" s="114" t="s">
        <v>20</v>
      </c>
      <c r="N6" s="114"/>
      <c r="O6" s="36" t="s">
        <v>46</v>
      </c>
      <c r="Q6" s="35">
        <v>1</v>
      </c>
      <c r="R6" s="35">
        <v>1.21</v>
      </c>
      <c r="U6" s="35">
        <v>1</v>
      </c>
      <c r="Y6" s="35">
        <v>1</v>
      </c>
    </row>
    <row r="7" spans="2:27" x14ac:dyDescent="0.3">
      <c r="B7" s="34"/>
      <c r="C7" s="34"/>
      <c r="D7" s="37" t="s">
        <v>65</v>
      </c>
      <c r="E7" s="38" t="s">
        <v>88</v>
      </c>
      <c r="F7" s="39" t="s">
        <v>67</v>
      </c>
      <c r="G7" s="40" t="s">
        <v>8</v>
      </c>
      <c r="H7" s="41" t="s">
        <v>7</v>
      </c>
      <c r="I7" s="39" t="s">
        <v>67</v>
      </c>
      <c r="J7" s="40" t="s">
        <v>8</v>
      </c>
      <c r="K7" s="41" t="s">
        <v>7</v>
      </c>
      <c r="L7" s="39" t="s">
        <v>67</v>
      </c>
      <c r="M7" s="40" t="s">
        <v>8</v>
      </c>
      <c r="N7" s="41" t="s">
        <v>7</v>
      </c>
      <c r="O7" s="36">
        <f>SUM(O8:O34)</f>
        <v>0</v>
      </c>
      <c r="Q7" s="39" t="s">
        <v>67</v>
      </c>
      <c r="R7" s="39" t="s">
        <v>67</v>
      </c>
      <c r="S7" s="104" t="s">
        <v>238</v>
      </c>
      <c r="U7" s="39" t="s">
        <v>67</v>
      </c>
      <c r="W7" s="104" t="s">
        <v>238</v>
      </c>
      <c r="Y7" s="39" t="s">
        <v>67</v>
      </c>
      <c r="AA7" s="104" t="s">
        <v>238</v>
      </c>
    </row>
    <row r="8" spans="2:27" ht="13.5" customHeight="1" x14ac:dyDescent="0.35">
      <c r="B8" s="42" t="s">
        <v>28</v>
      </c>
      <c r="C8" s="42" t="s">
        <v>130</v>
      </c>
      <c r="D8" s="38">
        <v>1.5</v>
      </c>
      <c r="E8" s="42" t="s">
        <v>181</v>
      </c>
      <c r="F8" s="39">
        <f>58.6730111111111*Index_tov_2018</f>
        <v>83.315675777777756</v>
      </c>
      <c r="G8" s="43"/>
      <c r="H8" s="44">
        <f>ROUNDUP(+G8*$D8*F$6*IF($E$7="kleurtoeslag ja",$F8+1.5,$F8),-1)</f>
        <v>0</v>
      </c>
      <c r="I8" s="39">
        <f>36.8731666666667*Index_tov_2018</f>
        <v>52.359896666666707</v>
      </c>
      <c r="J8" s="43"/>
      <c r="K8" s="44">
        <f>ROUNDUP(+J8*$D8*I$6*IF($E$7="kleurtoeslag ja",I$8+1.5,I$8),-1)</f>
        <v>0</v>
      </c>
      <c r="L8" s="39">
        <f>18.9101111111111*Index_tov_2018</f>
        <v>26.852357777777762</v>
      </c>
      <c r="M8" s="43"/>
      <c r="N8" s="44">
        <f>ROUNDUP(+M8*L8*$D8*L$6,-1)</f>
        <v>0</v>
      </c>
      <c r="O8" s="44">
        <f>+N8+K8+H8</f>
        <v>0</v>
      </c>
      <c r="Q8" s="39">
        <v>58.673011111111116</v>
      </c>
      <c r="R8" s="100">
        <f>Q8*1.42</f>
        <v>83.315675777777784</v>
      </c>
      <c r="S8" s="1">
        <f>F8-R8</f>
        <v>0</v>
      </c>
      <c r="U8" s="39">
        <v>36.873166666666698</v>
      </c>
      <c r="V8" s="100">
        <f t="shared" ref="V8:V11" si="0">U8*1.42</f>
        <v>52.359896666666707</v>
      </c>
      <c r="W8" s="1">
        <f>I8-V8</f>
        <v>0</v>
      </c>
      <c r="Y8" s="39">
        <f>18.9101111111111</f>
        <v>18.9101111111111</v>
      </c>
      <c r="Z8" s="100">
        <f t="shared" ref="Z8:Z9" si="1">Y8*1.42</f>
        <v>26.852357777777762</v>
      </c>
      <c r="AA8" s="1">
        <f>L8-Z8</f>
        <v>0</v>
      </c>
    </row>
    <row r="9" spans="2:27" ht="13.5" customHeight="1" x14ac:dyDescent="0.35">
      <c r="B9" s="42" t="s">
        <v>29</v>
      </c>
      <c r="C9" s="42"/>
      <c r="D9" s="38">
        <v>2.5</v>
      </c>
      <c r="E9" s="42" t="s">
        <v>182</v>
      </c>
      <c r="F9" s="39">
        <f>49.9814555555556*Index_tov_2018</f>
        <v>70.973666888888943</v>
      </c>
      <c r="G9" s="43"/>
      <c r="H9" s="44">
        <f t="shared" ref="H9:H10" si="2">ROUNDUP(+G9*$D9*F$6*IF($E$7="kleurtoeslag ja",$F9+1.5,$F9),-1)</f>
        <v>0</v>
      </c>
      <c r="I9" s="39">
        <f>29.17*Index_tov_2018</f>
        <v>41.421399999999998</v>
      </c>
      <c r="J9" s="43"/>
      <c r="K9" s="44">
        <f>ROUNDUP(+J9*$D9*I$6*IF($E$7="kleurtoeslag ja",I$8+1.5,I$8),-1)</f>
        <v>0</v>
      </c>
      <c r="L9" s="39">
        <f>15.3856666666667*Index_tov_2018</f>
        <v>21.847646666666712</v>
      </c>
      <c r="M9" s="43"/>
      <c r="N9" s="44">
        <f>ROUNDUP(+M9*L9*$D9*L$6,-1)</f>
        <v>0</v>
      </c>
      <c r="O9" s="44">
        <f>+N9+K9+H9</f>
        <v>0</v>
      </c>
      <c r="Q9" s="39">
        <v>49.981455555555598</v>
      </c>
      <c r="R9" s="100">
        <f>Q9*1.42</f>
        <v>70.973666888888943</v>
      </c>
      <c r="S9" s="1">
        <f>F9-R9</f>
        <v>0</v>
      </c>
      <c r="U9" s="39">
        <v>29.17</v>
      </c>
      <c r="V9" s="100">
        <f t="shared" si="0"/>
        <v>41.421399999999998</v>
      </c>
      <c r="W9" s="1">
        <f>I9-V9</f>
        <v>0</v>
      </c>
      <c r="Y9" s="39">
        <f>15.3856666666667</f>
        <v>15.385666666666699</v>
      </c>
      <c r="Z9" s="100">
        <f t="shared" si="1"/>
        <v>21.847646666666712</v>
      </c>
      <c r="AA9" s="1">
        <f>L9-Z9</f>
        <v>0</v>
      </c>
    </row>
    <row r="10" spans="2:27" ht="13.5" customHeight="1" x14ac:dyDescent="0.35">
      <c r="B10" s="42" t="s">
        <v>176</v>
      </c>
      <c r="C10" s="45"/>
      <c r="D10" s="38">
        <v>1.5</v>
      </c>
      <c r="E10" s="42" t="s">
        <v>63</v>
      </c>
      <c r="F10" s="39">
        <f>58.6730111111111*Index_tov_2018</f>
        <v>83.315675777777756</v>
      </c>
      <c r="G10" s="43"/>
      <c r="H10" s="44">
        <f t="shared" si="2"/>
        <v>0</v>
      </c>
      <c r="I10" s="46"/>
      <c r="J10" s="46"/>
      <c r="K10" s="47"/>
      <c r="L10" s="46"/>
      <c r="M10" s="46"/>
      <c r="N10" s="47"/>
      <c r="O10" s="44">
        <f>+N10+K10+H10</f>
        <v>0</v>
      </c>
      <c r="Q10" s="39">
        <v>58.673011111111101</v>
      </c>
      <c r="R10" s="100">
        <f>Q10*1.42</f>
        <v>83.315675777777756</v>
      </c>
      <c r="S10" s="1">
        <f>F10-R10</f>
        <v>0</v>
      </c>
      <c r="U10" s="46"/>
      <c r="Y10" s="46"/>
    </row>
    <row r="11" spans="2:27" ht="13.5" customHeight="1" x14ac:dyDescent="0.35">
      <c r="B11" s="42" t="s">
        <v>177</v>
      </c>
      <c r="C11" s="45"/>
      <c r="D11" s="38">
        <v>2.5</v>
      </c>
      <c r="E11" s="42" t="s">
        <v>89</v>
      </c>
      <c r="F11" s="46"/>
      <c r="G11" s="46"/>
      <c r="H11" s="47"/>
      <c r="I11" s="39">
        <f>14.15*Index_tov_2018</f>
        <v>20.093</v>
      </c>
      <c r="J11" s="43"/>
      <c r="K11" s="44">
        <f>ROUNDUP(+J11*I11*$D11*I$6,-1)</f>
        <v>0</v>
      </c>
      <c r="L11" s="46"/>
      <c r="M11" s="46"/>
      <c r="N11" s="47"/>
      <c r="O11" s="44">
        <f>+N11+K11+H11</f>
        <v>0</v>
      </c>
      <c r="Q11" s="46"/>
      <c r="R11" s="46"/>
      <c r="U11" s="39">
        <v>14.15</v>
      </c>
      <c r="V11" s="100">
        <f t="shared" si="0"/>
        <v>20.093</v>
      </c>
      <c r="W11" s="1">
        <f>I11-V11</f>
        <v>0</v>
      </c>
      <c r="Y11" s="46"/>
      <c r="AA11" s="1">
        <f>M11-Z11</f>
        <v>0</v>
      </c>
    </row>
    <row r="12" spans="2:27" ht="6.65" customHeight="1" x14ac:dyDescent="0.3">
      <c r="B12" s="48"/>
      <c r="C12" s="48"/>
      <c r="D12" s="48"/>
      <c r="E12" s="48"/>
      <c r="F12" s="48"/>
      <c r="G12" s="49"/>
      <c r="H12" s="44"/>
      <c r="I12" s="48"/>
      <c r="J12" s="49"/>
      <c r="K12" s="44"/>
      <c r="L12" s="48"/>
      <c r="M12" s="49"/>
      <c r="N12" s="44"/>
      <c r="O12" s="44"/>
      <c r="Q12" s="48"/>
      <c r="R12" s="48"/>
      <c r="U12" s="48"/>
      <c r="V12" s="48"/>
      <c r="Y12" s="48"/>
    </row>
    <row r="13" spans="2:27" ht="13.5" customHeight="1" x14ac:dyDescent="0.35">
      <c r="B13" s="42" t="s">
        <v>30</v>
      </c>
      <c r="C13" s="42" t="s">
        <v>5</v>
      </c>
      <c r="D13" s="38">
        <v>1.5</v>
      </c>
      <c r="E13" s="42" t="s">
        <v>181</v>
      </c>
      <c r="F13" s="39">
        <f>43.9436666666667*Index_tov_2018</f>
        <v>62.400006666666712</v>
      </c>
      <c r="G13" s="43"/>
      <c r="H13" s="44">
        <f t="shared" ref="H13:H23" si="3">ROUNDUP(+G13*F13*$D13*F$6,-1)</f>
        <v>0</v>
      </c>
      <c r="I13" s="39">
        <f>27.86*Index_tov_2018</f>
        <v>39.561199999999999</v>
      </c>
      <c r="J13" s="43"/>
      <c r="K13" s="44">
        <f t="shared" ref="K13:K16" si="4">ROUNDUP(+J13*I13*$D13*I$6,-1)</f>
        <v>0</v>
      </c>
      <c r="L13" s="39">
        <f>16.5180555555556*Index_tov_2018</f>
        <v>23.455638888888949</v>
      </c>
      <c r="M13" s="43"/>
      <c r="N13" s="44">
        <f t="shared" ref="N13:N16" si="5">ROUNDUP(+M13*L13*$D13*L$6,-1)</f>
        <v>0</v>
      </c>
      <c r="O13" s="44">
        <f t="shared" ref="O13:O17" si="6">+N13+K13+H13</f>
        <v>0</v>
      </c>
      <c r="Q13" s="39">
        <v>43.943666666666701</v>
      </c>
      <c r="R13" s="100">
        <f t="shared" ref="R13:R17" si="7">Q13*1.42</f>
        <v>62.400006666666712</v>
      </c>
      <c r="S13" s="1">
        <f>F13-R13</f>
        <v>0</v>
      </c>
      <c r="U13" s="39">
        <v>27.86</v>
      </c>
      <c r="V13" s="100">
        <f t="shared" ref="V13:V16" si="8">U13*1.42</f>
        <v>39.561199999999999</v>
      </c>
      <c r="W13" s="1">
        <f t="shared" ref="W13:W16" si="9">I13-V13</f>
        <v>0</v>
      </c>
      <c r="Y13" s="39">
        <f>16.5180555555556</f>
        <v>16.518055555555598</v>
      </c>
      <c r="Z13" s="100">
        <f t="shared" ref="Z13:Z16" si="10">Y13*1.42</f>
        <v>23.455638888888949</v>
      </c>
      <c r="AA13" s="1">
        <f t="shared" ref="AA13:AA16" si="11">L13-Z13</f>
        <v>0</v>
      </c>
    </row>
    <row r="14" spans="2:27" ht="13.5" customHeight="1" x14ac:dyDescent="0.35">
      <c r="B14" s="42" t="s">
        <v>31</v>
      </c>
      <c r="C14" s="42"/>
      <c r="D14" s="38">
        <v>2.5</v>
      </c>
      <c r="E14" s="42" t="s">
        <v>183</v>
      </c>
      <c r="F14" s="39">
        <f>42.537*Index_tov_2018</f>
        <v>60.402539999999995</v>
      </c>
      <c r="G14" s="43"/>
      <c r="H14" s="44">
        <f t="shared" si="3"/>
        <v>0</v>
      </c>
      <c r="I14" s="39">
        <f>27.503*Index_tov_2018</f>
        <v>39.054259999999999</v>
      </c>
      <c r="J14" s="43"/>
      <c r="K14" s="44">
        <f t="shared" si="4"/>
        <v>0</v>
      </c>
      <c r="L14" s="39">
        <f>16.5180555555556*Index_tov_2018</f>
        <v>23.455638888888949</v>
      </c>
      <c r="M14" s="43"/>
      <c r="N14" s="44">
        <f t="shared" si="5"/>
        <v>0</v>
      </c>
      <c r="O14" s="44">
        <f t="shared" si="6"/>
        <v>0</v>
      </c>
      <c r="P14" s="1"/>
      <c r="Q14" s="39">
        <v>42.536999999999999</v>
      </c>
      <c r="R14" s="100">
        <f t="shared" si="7"/>
        <v>60.402539999999995</v>
      </c>
      <c r="S14" s="1">
        <f>F14-R14</f>
        <v>0</v>
      </c>
      <c r="U14" s="39">
        <v>27.503</v>
      </c>
      <c r="V14" s="100">
        <f t="shared" si="8"/>
        <v>39.054259999999999</v>
      </c>
      <c r="W14" s="1">
        <f t="shared" si="9"/>
        <v>0</v>
      </c>
      <c r="Y14" s="39">
        <f>16.5180555555556</f>
        <v>16.518055555555598</v>
      </c>
      <c r="Z14" s="100">
        <f t="shared" si="10"/>
        <v>23.455638888888949</v>
      </c>
      <c r="AA14" s="1">
        <f t="shared" si="11"/>
        <v>0</v>
      </c>
    </row>
    <row r="15" spans="2:27" ht="13.5" customHeight="1" x14ac:dyDescent="0.35">
      <c r="B15" s="42" t="s">
        <v>32</v>
      </c>
      <c r="C15" s="42"/>
      <c r="D15" s="38">
        <v>3.5</v>
      </c>
      <c r="E15" s="42" t="s">
        <v>184</v>
      </c>
      <c r="F15" s="39">
        <f>39.6705714285714*Index_tov_2018</f>
        <v>56.332211428571384</v>
      </c>
      <c r="G15" s="43"/>
      <c r="H15" s="44">
        <f t="shared" si="3"/>
        <v>0</v>
      </c>
      <c r="I15" s="39">
        <f>25.5057142857143*Index_tov_2018</f>
        <v>36.218114285714307</v>
      </c>
      <c r="J15" s="43"/>
      <c r="K15" s="44">
        <f t="shared" si="4"/>
        <v>0</v>
      </c>
      <c r="L15" s="39">
        <f>16.5180555555556*Index_tov_2018</f>
        <v>23.455638888888949</v>
      </c>
      <c r="M15" s="43"/>
      <c r="N15" s="44">
        <f t="shared" si="5"/>
        <v>0</v>
      </c>
      <c r="O15" s="44">
        <f t="shared" si="6"/>
        <v>0</v>
      </c>
      <c r="P15" s="1"/>
      <c r="Q15" s="39">
        <v>39.6705714285714</v>
      </c>
      <c r="R15" s="100">
        <f t="shared" si="7"/>
        <v>56.332211428571384</v>
      </c>
      <c r="S15" s="1">
        <f>F15-R15</f>
        <v>0</v>
      </c>
      <c r="U15" s="39">
        <v>25.505714285714301</v>
      </c>
      <c r="V15" s="100">
        <f t="shared" si="8"/>
        <v>36.218114285714307</v>
      </c>
      <c r="W15" s="1">
        <f t="shared" si="9"/>
        <v>0</v>
      </c>
      <c r="Y15" s="39">
        <f>16.5180555555556</f>
        <v>16.518055555555598</v>
      </c>
      <c r="Z15" s="100">
        <f t="shared" si="10"/>
        <v>23.455638888888949</v>
      </c>
      <c r="AA15" s="1">
        <f t="shared" si="11"/>
        <v>0</v>
      </c>
    </row>
    <row r="16" spans="2:27" ht="13.5" customHeight="1" x14ac:dyDescent="0.35">
      <c r="B16" s="42" t="s">
        <v>33</v>
      </c>
      <c r="C16" s="42"/>
      <c r="D16" s="38">
        <v>4.5</v>
      </c>
      <c r="E16" s="42" t="s">
        <v>185</v>
      </c>
      <c r="F16" s="39">
        <f>39.3942222222222*Index_tov_2018</f>
        <v>55.93979555555552</v>
      </c>
      <c r="G16" s="43"/>
      <c r="H16" s="44">
        <f t="shared" si="3"/>
        <v>0</v>
      </c>
      <c r="I16" s="39">
        <f>25.5057142857143*Index_tov_2018</f>
        <v>36.218114285714307</v>
      </c>
      <c r="J16" s="43"/>
      <c r="K16" s="44">
        <f t="shared" si="4"/>
        <v>0</v>
      </c>
      <c r="L16" s="39">
        <f>16.5180555555556*Index_tov_2018</f>
        <v>23.455638888888949</v>
      </c>
      <c r="M16" s="43"/>
      <c r="N16" s="44">
        <f t="shared" si="5"/>
        <v>0</v>
      </c>
      <c r="O16" s="44">
        <f t="shared" ref="O16" si="12">+N16+K16+H16</f>
        <v>0</v>
      </c>
      <c r="P16" s="1"/>
      <c r="Q16" s="39">
        <v>39.394222222222197</v>
      </c>
      <c r="R16" s="100">
        <f t="shared" si="7"/>
        <v>55.93979555555552</v>
      </c>
      <c r="S16" s="1">
        <f>F16-R16</f>
        <v>0</v>
      </c>
      <c r="U16" s="39">
        <v>25.505714285714301</v>
      </c>
      <c r="V16" s="100">
        <f t="shared" si="8"/>
        <v>36.218114285714307</v>
      </c>
      <c r="W16" s="1">
        <f t="shared" si="9"/>
        <v>0</v>
      </c>
      <c r="Y16" s="39">
        <f>16.5180555555556</f>
        <v>16.518055555555598</v>
      </c>
      <c r="Z16" s="100">
        <f t="shared" si="10"/>
        <v>23.455638888888949</v>
      </c>
      <c r="AA16" s="1">
        <f t="shared" si="11"/>
        <v>0</v>
      </c>
    </row>
    <row r="17" spans="1:27" ht="13.5" customHeight="1" x14ac:dyDescent="0.35">
      <c r="A17"/>
      <c r="B17" s="42" t="s">
        <v>61</v>
      </c>
      <c r="C17" s="42"/>
      <c r="D17" s="38">
        <v>2</v>
      </c>
      <c r="E17" s="42" t="s">
        <v>63</v>
      </c>
      <c r="F17" s="39">
        <f>75.7896388888889*Index_tov_2018</f>
        <v>107.62128722222224</v>
      </c>
      <c r="G17" s="43"/>
      <c r="H17" s="44">
        <f t="shared" si="3"/>
        <v>0</v>
      </c>
      <c r="I17" s="46"/>
      <c r="J17" s="46"/>
      <c r="K17" s="47"/>
      <c r="L17" s="46"/>
      <c r="M17" s="46"/>
      <c r="N17" s="47"/>
      <c r="O17" s="44">
        <f t="shared" si="6"/>
        <v>0</v>
      </c>
      <c r="Q17" s="39">
        <v>75.789638888888902</v>
      </c>
      <c r="R17" s="100">
        <f t="shared" si="7"/>
        <v>107.62128722222224</v>
      </c>
      <c r="S17" s="1">
        <f>F17-R17</f>
        <v>0</v>
      </c>
      <c r="U17" s="46"/>
      <c r="Y17" s="46"/>
    </row>
    <row r="18" spans="1:27" ht="6.65" customHeight="1" x14ac:dyDescent="0.25">
      <c r="A18"/>
      <c r="B18" s="49"/>
      <c r="C18" s="49"/>
      <c r="D18" s="49"/>
      <c r="E18" s="49"/>
      <c r="F18" s="48"/>
      <c r="G18" s="49"/>
      <c r="H18" s="44"/>
      <c r="I18" s="48"/>
      <c r="J18" s="49"/>
      <c r="K18" s="44"/>
      <c r="L18" s="48"/>
      <c r="M18" s="49"/>
      <c r="N18" s="44"/>
      <c r="O18" s="44"/>
      <c r="Q18" s="48"/>
      <c r="R18" s="48"/>
      <c r="U18" s="48"/>
      <c r="Y18" s="48"/>
    </row>
    <row r="19" spans="1:27" ht="14.25" customHeight="1" x14ac:dyDescent="0.35">
      <c r="A19"/>
      <c r="B19" s="42" t="s">
        <v>34</v>
      </c>
      <c r="C19" s="42" t="s">
        <v>4</v>
      </c>
      <c r="D19" s="38">
        <v>1.5</v>
      </c>
      <c r="E19" s="42" t="s">
        <v>66</v>
      </c>
      <c r="F19" s="39">
        <f>51.7928333333333*Index_tov_2018</f>
        <v>73.545823333333274</v>
      </c>
      <c r="G19" s="43"/>
      <c r="H19" s="44">
        <f t="shared" si="3"/>
        <v>0</v>
      </c>
      <c r="I19" s="39">
        <f>37.3*Index_tov_2018</f>
        <v>52.965999999999994</v>
      </c>
      <c r="J19" s="43"/>
      <c r="K19" s="44">
        <f t="shared" ref="K19:K22" si="13">ROUNDUP(+J19*I19*$D19*I$6,-1)</f>
        <v>0</v>
      </c>
      <c r="L19" s="39">
        <f>16.5180555555556*Index_tov_2018</f>
        <v>23.455638888888949</v>
      </c>
      <c r="M19" s="43"/>
      <c r="N19" s="44">
        <f t="shared" ref="N19:N22" si="14">ROUNDUP(+M19*L19*$D19*L$6,-1)</f>
        <v>0</v>
      </c>
      <c r="O19" s="44">
        <f t="shared" ref="O19:O23" si="15">+N19+K19+H19</f>
        <v>0</v>
      </c>
      <c r="Q19" s="39">
        <v>51.792833333333299</v>
      </c>
      <c r="R19" s="100">
        <f t="shared" ref="R19:R23" si="16">Q19*1.42</f>
        <v>73.545823333333274</v>
      </c>
      <c r="S19" s="1">
        <f>F19-R19</f>
        <v>0</v>
      </c>
      <c r="U19" s="39">
        <v>37.299999999999997</v>
      </c>
      <c r="V19" s="100">
        <f t="shared" ref="V19:V22" si="17">U19*1.42</f>
        <v>52.965999999999994</v>
      </c>
      <c r="W19" s="1">
        <f t="shared" ref="W19:W22" si="18">I19-V19</f>
        <v>0</v>
      </c>
      <c r="Y19" s="39">
        <f>16.5180555555556</f>
        <v>16.518055555555598</v>
      </c>
      <c r="Z19" s="100">
        <f t="shared" ref="Z19:Z22" si="19">Y19*1.42</f>
        <v>23.455638888888949</v>
      </c>
      <c r="AA19" s="1">
        <f t="shared" ref="AA19:AA22" si="20">L19-Z19</f>
        <v>0</v>
      </c>
    </row>
    <row r="20" spans="1:27" ht="14.25" customHeight="1" x14ac:dyDescent="0.35">
      <c r="A20"/>
      <c r="B20" s="42" t="s">
        <v>35</v>
      </c>
      <c r="C20" s="42"/>
      <c r="D20" s="38">
        <v>2.5</v>
      </c>
      <c r="E20" s="42" t="s">
        <v>68</v>
      </c>
      <c r="F20" s="39">
        <f>50.0095*Index_tov_2018</f>
        <v>71.013490000000004</v>
      </c>
      <c r="G20" s="43"/>
      <c r="H20" s="44">
        <f t="shared" si="3"/>
        <v>0</v>
      </c>
      <c r="I20" s="39">
        <f>36.4795*Index_tov_2018</f>
        <v>51.800890000000003</v>
      </c>
      <c r="J20" s="43"/>
      <c r="K20" s="44">
        <f t="shared" si="13"/>
        <v>0</v>
      </c>
      <c r="L20" s="39">
        <f>16.5180555555556*Index_tov_2018</f>
        <v>23.455638888888949</v>
      </c>
      <c r="M20" s="43"/>
      <c r="N20" s="44">
        <f t="shared" si="14"/>
        <v>0</v>
      </c>
      <c r="O20" s="44">
        <f t="shared" si="15"/>
        <v>0</v>
      </c>
      <c r="P20" s="1"/>
      <c r="Q20" s="39">
        <v>50.009500000000003</v>
      </c>
      <c r="R20" s="100">
        <f t="shared" si="16"/>
        <v>71.013490000000004</v>
      </c>
      <c r="S20" s="1">
        <f>F20-R20</f>
        <v>0</v>
      </c>
      <c r="U20" s="39">
        <v>36.479500000000002</v>
      </c>
      <c r="V20" s="100">
        <f t="shared" si="17"/>
        <v>51.800890000000003</v>
      </c>
      <c r="W20" s="1">
        <f t="shared" si="18"/>
        <v>0</v>
      </c>
      <c r="Y20" s="39">
        <f>16.5180555555556</f>
        <v>16.518055555555598</v>
      </c>
      <c r="Z20" s="100">
        <f t="shared" si="19"/>
        <v>23.455638888888949</v>
      </c>
      <c r="AA20" s="1">
        <f t="shared" si="20"/>
        <v>0</v>
      </c>
    </row>
    <row r="21" spans="1:27" ht="14.25" customHeight="1" x14ac:dyDescent="0.35">
      <c r="A21"/>
      <c r="B21" s="42" t="s">
        <v>36</v>
      </c>
      <c r="C21" s="42"/>
      <c r="D21" s="38">
        <v>3.5</v>
      </c>
      <c r="E21" s="42" t="s">
        <v>69</v>
      </c>
      <c r="F21" s="39">
        <f>46.3366428571429*Index_tov_2018</f>
        <v>65.798032857142914</v>
      </c>
      <c r="G21" s="43"/>
      <c r="H21" s="44">
        <f t="shared" si="3"/>
        <v>0</v>
      </c>
      <c r="I21" s="39">
        <f>32.7432142857143*Index_tov_2018</f>
        <v>46.495364285714309</v>
      </c>
      <c r="J21" s="43"/>
      <c r="K21" s="44">
        <f t="shared" si="13"/>
        <v>0</v>
      </c>
      <c r="L21" s="39">
        <f>16.5180555555556*Index_tov_2018</f>
        <v>23.455638888888949</v>
      </c>
      <c r="M21" s="43"/>
      <c r="N21" s="44">
        <f t="shared" si="14"/>
        <v>0</v>
      </c>
      <c r="O21" s="44">
        <f t="shared" si="15"/>
        <v>0</v>
      </c>
      <c r="P21" s="1"/>
      <c r="Q21" s="39">
        <v>46.336642857142898</v>
      </c>
      <c r="R21" s="100">
        <f t="shared" si="16"/>
        <v>65.798032857142914</v>
      </c>
      <c r="S21" s="1">
        <f>F21-R21</f>
        <v>0</v>
      </c>
      <c r="U21" s="39">
        <v>32.743214285714302</v>
      </c>
      <c r="V21" s="100">
        <f t="shared" si="17"/>
        <v>46.495364285714309</v>
      </c>
      <c r="W21" s="1">
        <f t="shared" si="18"/>
        <v>0</v>
      </c>
      <c r="Y21" s="39">
        <f>16.5180555555556</f>
        <v>16.518055555555598</v>
      </c>
      <c r="Z21" s="100">
        <f t="shared" si="19"/>
        <v>23.455638888888949</v>
      </c>
      <c r="AA21" s="1">
        <f t="shared" si="20"/>
        <v>0</v>
      </c>
    </row>
    <row r="22" spans="1:27" ht="14.25" customHeight="1" x14ac:dyDescent="0.35">
      <c r="A22"/>
      <c r="B22" s="42" t="s">
        <v>37</v>
      </c>
      <c r="C22" s="42"/>
      <c r="D22" s="38">
        <v>4.3</v>
      </c>
      <c r="E22" s="42" t="s">
        <v>70</v>
      </c>
      <c r="F22" s="39">
        <f>46.1872777777778*Index_tov_2018</f>
        <v>65.585934444444476</v>
      </c>
      <c r="G22" s="43"/>
      <c r="H22" s="44">
        <f t="shared" si="3"/>
        <v>0</v>
      </c>
      <c r="I22" s="39">
        <f>32.5586111111111*Index_tov_2018</f>
        <v>46.233227777777756</v>
      </c>
      <c r="J22" s="43"/>
      <c r="K22" s="44">
        <f t="shared" si="13"/>
        <v>0</v>
      </c>
      <c r="L22" s="39">
        <f>16.5180555555556*Index_tov_2018</f>
        <v>23.455638888888949</v>
      </c>
      <c r="M22" s="43"/>
      <c r="N22" s="44">
        <f t="shared" si="14"/>
        <v>0</v>
      </c>
      <c r="O22" s="44">
        <f t="shared" ref="O22" si="21">+N22+K22+H22</f>
        <v>0</v>
      </c>
      <c r="P22" s="1"/>
      <c r="Q22" s="39">
        <v>46.187277777777801</v>
      </c>
      <c r="R22" s="100">
        <f t="shared" si="16"/>
        <v>65.585934444444476</v>
      </c>
      <c r="S22" s="1">
        <f>F22-R22</f>
        <v>0</v>
      </c>
      <c r="U22" s="39">
        <v>32.558611111111098</v>
      </c>
      <c r="V22" s="100">
        <f t="shared" si="17"/>
        <v>46.233227777777756</v>
      </c>
      <c r="W22" s="1">
        <f t="shared" si="18"/>
        <v>0</v>
      </c>
      <c r="Y22" s="39">
        <f>16.5180555555556</f>
        <v>16.518055555555598</v>
      </c>
      <c r="Z22" s="100">
        <f t="shared" si="19"/>
        <v>23.455638888888949</v>
      </c>
      <c r="AA22" s="1">
        <f t="shared" si="20"/>
        <v>0</v>
      </c>
    </row>
    <row r="23" spans="1:27" ht="14.25" customHeight="1" x14ac:dyDescent="0.35">
      <c r="A23"/>
      <c r="B23" s="42" t="s">
        <v>62</v>
      </c>
      <c r="C23" s="42"/>
      <c r="D23" s="38">
        <v>1.5</v>
      </c>
      <c r="E23" s="42" t="s">
        <v>63</v>
      </c>
      <c r="F23" s="39">
        <f>97.0683888888889*Index_tov_2018</f>
        <v>137.83711222222223</v>
      </c>
      <c r="G23" s="43"/>
      <c r="H23" s="44">
        <f t="shared" si="3"/>
        <v>0</v>
      </c>
      <c r="I23" s="46"/>
      <c r="J23" s="46"/>
      <c r="K23" s="47"/>
      <c r="L23" s="46"/>
      <c r="M23" s="46"/>
      <c r="N23" s="47"/>
      <c r="O23" s="44">
        <f t="shared" si="15"/>
        <v>0</v>
      </c>
      <c r="Q23" s="39">
        <v>97.068388888888904</v>
      </c>
      <c r="R23" s="100">
        <f t="shared" si="16"/>
        <v>137.83711222222223</v>
      </c>
      <c r="S23" s="1">
        <f>F23-R23</f>
        <v>0</v>
      </c>
      <c r="U23" s="46"/>
    </row>
    <row r="24" spans="1:27" ht="6.65" customHeight="1" x14ac:dyDescent="0.25">
      <c r="A24"/>
      <c r="B24" s="48"/>
      <c r="C24" s="48"/>
      <c r="D24" s="48"/>
      <c r="E24" s="48"/>
      <c r="F24" s="48"/>
      <c r="G24" s="49"/>
      <c r="H24" s="44"/>
      <c r="I24" s="48"/>
      <c r="J24" s="49"/>
      <c r="K24" s="44"/>
      <c r="L24" s="48"/>
      <c r="M24" s="49"/>
      <c r="N24" s="44"/>
      <c r="O24" s="44"/>
      <c r="U24" s="48"/>
    </row>
    <row r="25" spans="1:27" x14ac:dyDescent="0.3">
      <c r="A25"/>
      <c r="B25" s="33" t="s">
        <v>57</v>
      </c>
      <c r="C25" s="34"/>
      <c r="D25" s="50">
        <v>0.15</v>
      </c>
      <c r="E25" s="34" t="s">
        <v>73</v>
      </c>
      <c r="F25" s="39"/>
      <c r="G25" s="40"/>
      <c r="H25" s="41"/>
      <c r="I25" s="39"/>
      <c r="J25" s="114" t="s">
        <v>87</v>
      </c>
      <c r="K25" s="114"/>
      <c r="L25" s="39"/>
      <c r="M25" s="40"/>
      <c r="N25" s="41"/>
      <c r="O25" s="36"/>
      <c r="U25" s="39"/>
    </row>
    <row r="26" spans="1:27" x14ac:dyDescent="0.3">
      <c r="B26" s="34"/>
      <c r="C26" s="34"/>
      <c r="D26" s="37" t="s">
        <v>65</v>
      </c>
      <c r="E26" s="34"/>
      <c r="F26" s="39" t="s">
        <v>67</v>
      </c>
      <c r="G26" s="40"/>
      <c r="H26" s="41"/>
      <c r="I26" s="39" t="s">
        <v>67</v>
      </c>
      <c r="J26" s="40" t="s">
        <v>8</v>
      </c>
      <c r="K26" s="41" t="s">
        <v>7</v>
      </c>
      <c r="L26" s="39" t="s">
        <v>67</v>
      </c>
      <c r="M26" s="40"/>
      <c r="N26" s="41"/>
      <c r="O26" s="36"/>
      <c r="U26" s="39" t="s">
        <v>67</v>
      </c>
    </row>
    <row r="27" spans="1:27" ht="15.75" customHeight="1" x14ac:dyDescent="0.35">
      <c r="A27"/>
      <c r="B27" s="42" t="s">
        <v>54</v>
      </c>
      <c r="C27" s="42" t="s">
        <v>71</v>
      </c>
      <c r="D27" s="38">
        <v>2.5</v>
      </c>
      <c r="E27" s="42" t="s">
        <v>3</v>
      </c>
      <c r="F27" s="46"/>
      <c r="G27" s="46"/>
      <c r="H27" s="47"/>
      <c r="I27" s="39">
        <f>32.0918055555556*Index_tov_2018</f>
        <v>45.570363888888956</v>
      </c>
      <c r="J27" s="43"/>
      <c r="K27" s="44">
        <f t="shared" ref="K27:K29" si="22">ROUNDUP(+J27*I27*$D27*I$6,-1)</f>
        <v>0</v>
      </c>
      <c r="L27" s="46"/>
      <c r="M27" s="46"/>
      <c r="N27" s="47"/>
      <c r="O27" s="44">
        <f t="shared" ref="O27:O29" si="23">+N27+K27+H27</f>
        <v>0</v>
      </c>
      <c r="U27" s="39">
        <v>32.091805555555602</v>
      </c>
      <c r="V27" s="100">
        <f t="shared" ref="V27:V29" si="24">U27*1.42</f>
        <v>45.570363888888956</v>
      </c>
      <c r="W27" s="1">
        <f t="shared" ref="W27:W29" si="25">I27-V27</f>
        <v>0</v>
      </c>
    </row>
    <row r="28" spans="1:27" ht="15.75" customHeight="1" x14ac:dyDescent="0.35">
      <c r="A28"/>
      <c r="B28" s="42" t="s">
        <v>178</v>
      </c>
      <c r="C28" s="42" t="s">
        <v>57</v>
      </c>
      <c r="D28" s="38">
        <v>2.5</v>
      </c>
      <c r="E28" s="42" t="s">
        <v>5</v>
      </c>
      <c r="F28" s="46"/>
      <c r="G28" s="46"/>
      <c r="H28" s="47"/>
      <c r="I28" s="39">
        <f>21.559375*Index_tov_2018</f>
        <v>30.614312499999997</v>
      </c>
      <c r="J28" s="43"/>
      <c r="K28" s="44">
        <f t="shared" si="22"/>
        <v>0</v>
      </c>
      <c r="L28" s="46"/>
      <c r="M28" s="46"/>
      <c r="N28" s="47"/>
      <c r="O28" s="44">
        <f t="shared" si="23"/>
        <v>0</v>
      </c>
      <c r="U28" s="39">
        <v>21.559374999999999</v>
      </c>
      <c r="V28" s="100">
        <f t="shared" si="24"/>
        <v>30.614312499999997</v>
      </c>
      <c r="W28" s="1">
        <f t="shared" si="25"/>
        <v>0</v>
      </c>
    </row>
    <row r="29" spans="1:27" ht="15.75" customHeight="1" x14ac:dyDescent="0.35">
      <c r="A29"/>
      <c r="B29" s="42" t="s">
        <v>55</v>
      </c>
      <c r="C29" s="42"/>
      <c r="D29" s="38">
        <v>2.5</v>
      </c>
      <c r="E29" s="42" t="s">
        <v>4</v>
      </c>
      <c r="F29" s="46"/>
      <c r="G29" s="46"/>
      <c r="H29" s="47"/>
      <c r="I29" s="39">
        <f>31.325*Index_tov_2018</f>
        <v>44.481499999999997</v>
      </c>
      <c r="J29" s="43"/>
      <c r="K29" s="44">
        <f t="shared" si="22"/>
        <v>0</v>
      </c>
      <c r="L29" s="46"/>
      <c r="M29" s="46"/>
      <c r="N29" s="47"/>
      <c r="O29" s="44">
        <f t="shared" si="23"/>
        <v>0</v>
      </c>
      <c r="U29" s="39">
        <v>31.324999999999999</v>
      </c>
      <c r="V29" s="100">
        <f t="shared" si="24"/>
        <v>44.481499999999997</v>
      </c>
      <c r="W29" s="1">
        <f t="shared" si="25"/>
        <v>0</v>
      </c>
    </row>
    <row r="30" spans="1:27" ht="6.65" customHeight="1" x14ac:dyDescent="0.25">
      <c r="A30"/>
      <c r="B30" s="49"/>
      <c r="C30" s="49"/>
      <c r="D30" s="49"/>
      <c r="E30" s="49"/>
      <c r="F30" s="48"/>
      <c r="G30" s="49"/>
      <c r="H30" s="44"/>
      <c r="I30" s="48"/>
      <c r="J30" s="49"/>
      <c r="K30" s="44"/>
      <c r="L30" s="48"/>
      <c r="M30" s="49"/>
      <c r="N30" s="44"/>
      <c r="O30" s="44"/>
      <c r="U30" s="48"/>
    </row>
    <row r="31" spans="1:27" ht="13.5" customHeight="1" x14ac:dyDescent="0.35">
      <c r="A31"/>
      <c r="B31" s="42" t="s">
        <v>90</v>
      </c>
      <c r="C31" s="42" t="s">
        <v>72</v>
      </c>
      <c r="D31" s="38">
        <v>2.5</v>
      </c>
      <c r="E31" s="42" t="s">
        <v>3</v>
      </c>
      <c r="F31" s="46"/>
      <c r="G31" s="46"/>
      <c r="H31" s="47"/>
      <c r="I31" s="39">
        <f>22.9002222222222*Index_tov_2018</f>
        <v>32.518315555555525</v>
      </c>
      <c r="J31" s="43"/>
      <c r="K31" s="44">
        <f>ROUNDUP(+J31*I31*$D31*I$6,-1)</f>
        <v>0</v>
      </c>
      <c r="L31" s="46"/>
      <c r="M31" s="46"/>
      <c r="N31" s="47"/>
      <c r="O31" s="44">
        <f t="shared" ref="O31" si="26">+N31+K31+H31</f>
        <v>0</v>
      </c>
      <c r="U31" s="39">
        <v>22.900222222222201</v>
      </c>
      <c r="V31" s="100">
        <f t="shared" ref="V31:V33" si="27">U31*1.42</f>
        <v>32.518315555555525</v>
      </c>
      <c r="W31" s="1">
        <f t="shared" ref="W31:W33" si="28">I31-V31</f>
        <v>0</v>
      </c>
    </row>
    <row r="32" spans="1:27" ht="13.5" customHeight="1" x14ac:dyDescent="0.35">
      <c r="A32"/>
      <c r="B32" s="42" t="s">
        <v>179</v>
      </c>
      <c r="C32" s="42" t="s">
        <v>57</v>
      </c>
      <c r="D32" s="38">
        <v>2.5</v>
      </c>
      <c r="E32" s="42" t="s">
        <v>5</v>
      </c>
      <c r="F32" s="46"/>
      <c r="G32" s="46"/>
      <c r="H32" s="47"/>
      <c r="I32" s="39">
        <f>14.4891666666667*Index_tov_2018</f>
        <v>20.574616666666714</v>
      </c>
      <c r="J32" s="43"/>
      <c r="K32" s="44">
        <f t="shared" ref="K32:K33" si="29">ROUNDUP(+J32*I32*$D32*I$6,-1)</f>
        <v>0</v>
      </c>
      <c r="L32" s="46"/>
      <c r="M32" s="46"/>
      <c r="N32" s="47"/>
      <c r="O32" s="44">
        <f t="shared" ref="O32:O33" si="30">+N32+K32+H32</f>
        <v>0</v>
      </c>
      <c r="U32" s="39">
        <v>14.4891666666667</v>
      </c>
      <c r="V32" s="100">
        <f t="shared" si="27"/>
        <v>20.574616666666714</v>
      </c>
      <c r="W32" s="1">
        <f t="shared" si="28"/>
        <v>0</v>
      </c>
    </row>
    <row r="33" spans="1:27" ht="13.5" customHeight="1" x14ac:dyDescent="0.35">
      <c r="A33"/>
      <c r="B33" s="42" t="s">
        <v>59</v>
      </c>
      <c r="C33" s="42"/>
      <c r="D33" s="38">
        <v>2.5</v>
      </c>
      <c r="E33" s="42" t="s">
        <v>4</v>
      </c>
      <c r="F33" s="46"/>
      <c r="G33" s="46"/>
      <c r="H33" s="47"/>
      <c r="I33" s="39">
        <f>22.3016666666667*Index_tov_2018</f>
        <v>31.668366666666714</v>
      </c>
      <c r="J33" s="43"/>
      <c r="K33" s="44">
        <f t="shared" si="29"/>
        <v>0</v>
      </c>
      <c r="L33" s="46"/>
      <c r="M33" s="46"/>
      <c r="N33" s="47"/>
      <c r="O33" s="44">
        <f t="shared" si="30"/>
        <v>0</v>
      </c>
      <c r="U33" s="39">
        <v>22.301666666666701</v>
      </c>
      <c r="V33" s="100">
        <f t="shared" si="27"/>
        <v>31.668366666666714</v>
      </c>
      <c r="W33" s="1">
        <f t="shared" si="28"/>
        <v>0</v>
      </c>
    </row>
    <row r="34" spans="1:27" ht="6.65" customHeight="1" x14ac:dyDescent="0.25">
      <c r="A34"/>
      <c r="B34" s="49"/>
      <c r="C34" s="49"/>
      <c r="D34" s="49"/>
      <c r="E34" s="49"/>
      <c r="F34" s="49"/>
      <c r="G34" s="49"/>
      <c r="H34" s="44"/>
      <c r="I34" s="48"/>
      <c r="J34" s="49"/>
      <c r="K34" s="44"/>
      <c r="L34" s="48"/>
      <c r="M34" s="49"/>
      <c r="N34" s="44"/>
      <c r="O34" s="44"/>
    </row>
    <row r="36" spans="1:27" x14ac:dyDescent="0.3">
      <c r="B36" s="42"/>
      <c r="C36" s="42"/>
      <c r="D36" s="42"/>
      <c r="E36" s="42"/>
      <c r="F36" s="42"/>
      <c r="G36" s="42"/>
      <c r="H36" s="42" t="s">
        <v>15</v>
      </c>
      <c r="I36" s="1" t="s">
        <v>213</v>
      </c>
      <c r="J36" s="38">
        <v>3</v>
      </c>
      <c r="K36" s="42" t="s">
        <v>14</v>
      </c>
      <c r="M36" s="38">
        <v>1</v>
      </c>
      <c r="N36" s="42"/>
      <c r="O36" s="42"/>
    </row>
    <row r="37" spans="1:27" x14ac:dyDescent="0.3">
      <c r="B37" s="33" t="s">
        <v>172</v>
      </c>
      <c r="C37" s="34"/>
      <c r="D37" s="34"/>
      <c r="E37" s="34"/>
      <c r="F37" s="35"/>
      <c r="G37" s="114" t="s">
        <v>16</v>
      </c>
      <c r="H37" s="114"/>
      <c r="I37" s="35">
        <v>0.05</v>
      </c>
      <c r="J37" s="114" t="s">
        <v>91</v>
      </c>
      <c r="K37" s="114"/>
      <c r="L37" s="39"/>
      <c r="M37" s="114" t="s">
        <v>17</v>
      </c>
      <c r="N37" s="114"/>
      <c r="O37" s="36" t="s">
        <v>46</v>
      </c>
      <c r="Q37" s="35"/>
      <c r="R37" s="35"/>
      <c r="U37" s="35">
        <v>0.05</v>
      </c>
      <c r="V37" s="35"/>
      <c r="Y37" s="39"/>
    </row>
    <row r="38" spans="1:27" x14ac:dyDescent="0.3">
      <c r="B38" s="34" t="s">
        <v>18</v>
      </c>
      <c r="C38" s="34"/>
      <c r="D38" s="37" t="s">
        <v>64</v>
      </c>
      <c r="E38" s="34"/>
      <c r="F38" s="39" t="s">
        <v>212</v>
      </c>
      <c r="G38" s="40" t="s">
        <v>8</v>
      </c>
      <c r="H38" s="41" t="s">
        <v>7</v>
      </c>
      <c r="I38" s="39" t="s">
        <v>212</v>
      </c>
      <c r="J38" s="40" t="s">
        <v>8</v>
      </c>
      <c r="K38" s="41" t="s">
        <v>7</v>
      </c>
      <c r="L38" s="39" t="s">
        <v>67</v>
      </c>
      <c r="M38" s="40" t="s">
        <v>8</v>
      </c>
      <c r="N38" s="41" t="s">
        <v>7</v>
      </c>
      <c r="O38" s="36">
        <f>SUM(O39:O44)</f>
        <v>0</v>
      </c>
      <c r="Q38" s="39" t="s">
        <v>212</v>
      </c>
      <c r="R38" s="39" t="s">
        <v>212</v>
      </c>
      <c r="U38" s="39" t="s">
        <v>212</v>
      </c>
      <c r="V38" s="39" t="s">
        <v>212</v>
      </c>
      <c r="Y38" s="39" t="s">
        <v>67</v>
      </c>
    </row>
    <row r="39" spans="1:27" ht="13.5" customHeight="1" x14ac:dyDescent="0.35">
      <c r="B39" s="42" t="s">
        <v>42</v>
      </c>
      <c r="C39" s="42"/>
      <c r="D39" s="51">
        <v>0.25</v>
      </c>
      <c r="E39" s="42" t="s">
        <v>12</v>
      </c>
      <c r="F39" s="39">
        <f>19.4343888888889*Index_tov_2018</f>
        <v>27.596832222222236</v>
      </c>
      <c r="G39" s="43"/>
      <c r="H39" s="44">
        <f>+ROUNDUP(($J$36+2*$M$36+2*$D39)*$D39*G39*F39,-1)</f>
        <v>0</v>
      </c>
      <c r="I39" s="39">
        <f>19.4343888888889*Index_tov_2018</f>
        <v>27.596832222222236</v>
      </c>
      <c r="J39" s="43"/>
      <c r="K39" s="44">
        <f>+ROUNDUP(($J$36+1*$M$36+2*$D39)*$D39*J39*I39*(1+$I$37),-1)</f>
        <v>0</v>
      </c>
      <c r="L39" s="39">
        <f>13.6816666666667*Index_tov_2018</f>
        <v>19.427966666666713</v>
      </c>
      <c r="M39" s="43"/>
      <c r="N39" s="44">
        <f>+ROUNDUP(($J$36+2*$M$36+2*$D39)*$D39*M39*L39,-1)</f>
        <v>0</v>
      </c>
      <c r="O39" s="44">
        <f t="shared" ref="O39:O42" si="31">+N39+K39+H39</f>
        <v>0</v>
      </c>
      <c r="Q39" s="39">
        <v>19.4343888888889</v>
      </c>
      <c r="R39" s="100">
        <f t="shared" ref="R39:R42" si="32">Q39*1.42</f>
        <v>27.596832222222236</v>
      </c>
      <c r="S39" s="1">
        <f t="shared" ref="S39:S42" si="33">F39-R39</f>
        <v>0</v>
      </c>
      <c r="U39" s="39">
        <v>19.43438888888889</v>
      </c>
      <c r="V39" s="100">
        <f t="shared" ref="V39:V42" si="34">U39*1.42</f>
        <v>27.596832222222222</v>
      </c>
      <c r="W39" s="1">
        <f t="shared" ref="W39:W41" si="35">I39-V39</f>
        <v>0</v>
      </c>
      <c r="Y39" s="39">
        <v>13.681666666666668</v>
      </c>
      <c r="Z39" s="100">
        <f>Y39*1.42</f>
        <v>19.42796666666667</v>
      </c>
      <c r="AA39" s="1">
        <f>L39-Z39</f>
        <v>4.2632564145606011E-14</v>
      </c>
    </row>
    <row r="40" spans="1:27" ht="13.5" customHeight="1" x14ac:dyDescent="0.35">
      <c r="B40" s="42" t="s">
        <v>43</v>
      </c>
      <c r="C40" s="42"/>
      <c r="D40" s="51">
        <v>0.75</v>
      </c>
      <c r="E40" s="42" t="s">
        <v>11</v>
      </c>
      <c r="F40" s="39">
        <f>13.5350833333333*Index_tov_2018</f>
        <v>19.219818333333286</v>
      </c>
      <c r="G40" s="43"/>
      <c r="H40" s="44">
        <f t="shared" ref="H40:H42" si="36">+ROUNDUP(($J$36+2*$M$36+2*$D40)*$D40*G40*F40,-1)</f>
        <v>0</v>
      </c>
      <c r="I40" s="39">
        <f>13.5350833333333*Index_tov_2018</f>
        <v>19.219818333333286</v>
      </c>
      <c r="J40" s="43"/>
      <c r="K40" s="44">
        <f t="shared" ref="K40:K42" si="37">+ROUNDUP(($J$36+1*$M$36+2*$D40)*$D40*J40*I40*(1+$I$37),-1)</f>
        <v>0</v>
      </c>
      <c r="L40" s="39">
        <f>23.45*Index_tov_2018</f>
        <v>33.298999999999999</v>
      </c>
      <c r="M40" s="43"/>
      <c r="N40" s="44">
        <f t="shared" ref="N40:N42" si="38">+ROUNDUP(($J$36+2*$M$36+2*$D40)*$D40*M40*L40,-1)</f>
        <v>0</v>
      </c>
      <c r="O40" s="44">
        <f t="shared" si="31"/>
        <v>0</v>
      </c>
      <c r="Q40" s="39">
        <v>13.535083333333301</v>
      </c>
      <c r="R40" s="100">
        <f t="shared" si="32"/>
        <v>19.219818333333286</v>
      </c>
      <c r="S40" s="1">
        <f t="shared" si="33"/>
        <v>0</v>
      </c>
      <c r="U40" s="39">
        <v>13.535083333333333</v>
      </c>
      <c r="V40" s="100">
        <f t="shared" si="34"/>
        <v>19.219818333333333</v>
      </c>
      <c r="W40" s="1">
        <f t="shared" si="35"/>
        <v>-4.6185277824406512E-14</v>
      </c>
      <c r="Y40" s="39">
        <v>23.450000000000003</v>
      </c>
      <c r="Z40" s="100">
        <f>Y40*1.42</f>
        <v>33.298999999999999</v>
      </c>
      <c r="AA40" s="1">
        <f t="shared" ref="AA40:AA42" si="39">L40-Z40</f>
        <v>0</v>
      </c>
    </row>
    <row r="41" spans="1:27" ht="13.5" customHeight="1" x14ac:dyDescent="0.35">
      <c r="B41" s="42" t="s">
        <v>44</v>
      </c>
      <c r="C41" s="45"/>
      <c r="D41" s="51">
        <v>1.25</v>
      </c>
      <c r="E41" s="42" t="s">
        <v>74</v>
      </c>
      <c r="F41" s="39">
        <f>14.28925*Index_tov_2018</f>
        <v>20.290734999999998</v>
      </c>
      <c r="G41" s="43"/>
      <c r="H41" s="44">
        <f t="shared" si="36"/>
        <v>0</v>
      </c>
      <c r="I41" s="39">
        <f>14.28925*Index_tov_2018</f>
        <v>20.290734999999998</v>
      </c>
      <c r="J41" s="43"/>
      <c r="K41" s="44">
        <f t="shared" si="37"/>
        <v>0</v>
      </c>
      <c r="L41" s="39">
        <f>35.75*Index_tov_2018</f>
        <v>50.765000000000001</v>
      </c>
      <c r="M41" s="43"/>
      <c r="N41" s="44">
        <f t="shared" si="38"/>
        <v>0</v>
      </c>
      <c r="O41" s="44">
        <f t="shared" si="31"/>
        <v>0</v>
      </c>
      <c r="Q41" s="39">
        <v>14.289249999999999</v>
      </c>
      <c r="R41" s="100">
        <f t="shared" si="32"/>
        <v>20.290734999999998</v>
      </c>
      <c r="S41" s="1">
        <f t="shared" si="33"/>
        <v>0</v>
      </c>
      <c r="U41" s="39">
        <v>14.289249999999999</v>
      </c>
      <c r="V41" s="100">
        <f t="shared" si="34"/>
        <v>20.290734999999998</v>
      </c>
      <c r="W41" s="1">
        <f t="shared" si="35"/>
        <v>0</v>
      </c>
      <c r="Y41" s="39">
        <v>35.75</v>
      </c>
      <c r="Z41" s="100">
        <f>Y41*1.42</f>
        <v>50.765000000000001</v>
      </c>
      <c r="AA41" s="1">
        <f t="shared" si="39"/>
        <v>0</v>
      </c>
    </row>
    <row r="42" spans="1:27" ht="13.5" customHeight="1" x14ac:dyDescent="0.35">
      <c r="B42" s="42" t="s">
        <v>45</v>
      </c>
      <c r="C42" s="45"/>
      <c r="D42" s="51">
        <v>1.75</v>
      </c>
      <c r="E42" s="42" t="s">
        <v>13</v>
      </c>
      <c r="F42" s="39">
        <f>15.3481785714286*Index_tov_2018</f>
        <v>21.79441357142861</v>
      </c>
      <c r="G42" s="43"/>
      <c r="H42" s="44">
        <f t="shared" si="36"/>
        <v>0</v>
      </c>
      <c r="I42" s="39">
        <f>15.3481785714286*Index_tov_2018</f>
        <v>21.79441357142861</v>
      </c>
      <c r="J42" s="43"/>
      <c r="K42" s="44">
        <f t="shared" si="37"/>
        <v>0</v>
      </c>
      <c r="L42" s="39">
        <f>48.05*Index_tov_2018</f>
        <v>68.230999999999995</v>
      </c>
      <c r="M42" s="43"/>
      <c r="N42" s="44">
        <f t="shared" si="38"/>
        <v>0</v>
      </c>
      <c r="O42" s="44">
        <f t="shared" si="31"/>
        <v>0</v>
      </c>
      <c r="Q42" s="39">
        <v>15.348178571428599</v>
      </c>
      <c r="R42" s="100">
        <f t="shared" si="32"/>
        <v>21.79441357142861</v>
      </c>
      <c r="S42" s="1">
        <f t="shared" si="33"/>
        <v>0</v>
      </c>
      <c r="U42" s="39">
        <v>15.348178571428571</v>
      </c>
      <c r="V42" s="100">
        <f t="shared" si="34"/>
        <v>21.794413571428571</v>
      </c>
      <c r="W42" s="1">
        <f>I42-V42</f>
        <v>3.907985046680551E-14</v>
      </c>
      <c r="Y42" s="39">
        <v>48.050000000000004</v>
      </c>
      <c r="Z42" s="100">
        <f>Y42*1.42</f>
        <v>68.231000000000009</v>
      </c>
      <c r="AA42" s="1">
        <f t="shared" si="39"/>
        <v>0</v>
      </c>
    </row>
    <row r="43" spans="1:27" hidden="1" x14ac:dyDescent="0.3">
      <c r="D43" s="52"/>
      <c r="F43" s="39"/>
      <c r="G43" s="43"/>
      <c r="H43" s="44"/>
      <c r="I43" s="39">
        <v>7.81</v>
      </c>
      <c r="J43" s="43"/>
      <c r="K43" s="44"/>
      <c r="L43" s="39"/>
      <c r="M43" s="43"/>
      <c r="N43" s="44"/>
      <c r="O43" s="44"/>
      <c r="Q43" s="39"/>
      <c r="R43" s="39">
        <f>Q43*1.21</f>
        <v>0</v>
      </c>
      <c r="U43" s="39">
        <v>7.81</v>
      </c>
    </row>
    <row r="44" spans="1:27" ht="6.65" customHeight="1" x14ac:dyDescent="0.3">
      <c r="B44" s="49"/>
      <c r="C44" s="49"/>
      <c r="D44" s="49"/>
      <c r="E44" s="49"/>
      <c r="F44" s="49"/>
      <c r="G44" s="49"/>
      <c r="H44" s="44"/>
      <c r="I44" s="48"/>
      <c r="J44" s="49"/>
      <c r="K44" s="44"/>
      <c r="L44" s="48"/>
      <c r="M44" s="49"/>
      <c r="N44" s="44"/>
      <c r="O44" s="44"/>
      <c r="Q44" s="49"/>
      <c r="U44" s="48"/>
    </row>
    <row r="45" spans="1:27" x14ac:dyDescent="0.3">
      <c r="Q45" s="1"/>
      <c r="U45" s="1"/>
    </row>
    <row r="46" spans="1:27" ht="14.25" customHeight="1" x14ac:dyDescent="0.35">
      <c r="B46" s="33" t="s">
        <v>173</v>
      </c>
      <c r="C46" s="34"/>
      <c r="D46" s="34"/>
      <c r="E46" s="34"/>
      <c r="F46" s="39">
        <f>10*Index_tov_2018</f>
        <v>14.2</v>
      </c>
      <c r="G46" s="114" t="s">
        <v>16</v>
      </c>
      <c r="H46" s="114"/>
      <c r="I46" s="53"/>
      <c r="J46" s="114" t="s">
        <v>175</v>
      </c>
      <c r="K46" s="114"/>
      <c r="L46" s="53"/>
      <c r="M46" s="114" t="s">
        <v>17</v>
      </c>
      <c r="N46" s="114"/>
      <c r="O46" s="36" t="s">
        <v>46</v>
      </c>
      <c r="Q46" s="39">
        <v>10</v>
      </c>
      <c r="R46" s="100">
        <f>10*1.42</f>
        <v>14.2</v>
      </c>
      <c r="S46" s="1">
        <f>F46-R46</f>
        <v>0</v>
      </c>
      <c r="U46" s="53"/>
      <c r="Y46" s="53"/>
    </row>
    <row r="47" spans="1:27" x14ac:dyDescent="0.3">
      <c r="B47" s="34"/>
      <c r="C47" s="34"/>
      <c r="D47" s="34"/>
      <c r="E47" s="34"/>
      <c r="F47" s="39" t="s">
        <v>6</v>
      </c>
      <c r="G47" s="40" t="s">
        <v>8</v>
      </c>
      <c r="H47" s="41" t="s">
        <v>7</v>
      </c>
      <c r="I47" s="54" t="s">
        <v>6</v>
      </c>
      <c r="J47" s="40" t="s">
        <v>8</v>
      </c>
      <c r="K47" s="41" t="s">
        <v>7</v>
      </c>
      <c r="L47" s="54" t="s">
        <v>6</v>
      </c>
      <c r="M47" s="40" t="s">
        <v>8</v>
      </c>
      <c r="N47" s="41" t="s">
        <v>7</v>
      </c>
      <c r="O47" s="36">
        <f>SUM(O48:O67)</f>
        <v>0</v>
      </c>
      <c r="Q47" s="39" t="s">
        <v>6</v>
      </c>
      <c r="U47" s="54" t="s">
        <v>6</v>
      </c>
      <c r="Y47" s="54" t="s">
        <v>6</v>
      </c>
    </row>
    <row r="48" spans="1:27" ht="12.75" customHeight="1" x14ac:dyDescent="0.35">
      <c r="A48"/>
      <c r="B48" s="42" t="s">
        <v>106</v>
      </c>
      <c r="C48" s="42" t="s">
        <v>92</v>
      </c>
      <c r="D48" s="55"/>
      <c r="E48" s="42" t="s">
        <v>22</v>
      </c>
      <c r="F48" s="39">
        <f>+F54/25</f>
        <v>69.86399999999999</v>
      </c>
      <c r="G48" s="43"/>
      <c r="H48" s="44">
        <f>ROUNDUP(+G48*F48*F$6,-1)</f>
        <v>0</v>
      </c>
      <c r="I48" s="39">
        <f>+I54/25</f>
        <v>20.660999999999998</v>
      </c>
      <c r="J48" s="43"/>
      <c r="K48" s="44">
        <f>ROUNDUP(+J48*I48*I$6,-1)</f>
        <v>0</v>
      </c>
      <c r="L48" s="39">
        <f>+L54/25</f>
        <v>8.1413333333333142</v>
      </c>
      <c r="M48" s="43"/>
      <c r="N48" s="44">
        <f>ROUNDUP(+M48*L48*L$6,-1)</f>
        <v>0</v>
      </c>
      <c r="O48" s="44">
        <f t="shared" ref="O48:O65" si="40">+N48+K48+H48</f>
        <v>0</v>
      </c>
      <c r="Q48" s="39">
        <f>+Q54/25</f>
        <v>49.2</v>
      </c>
      <c r="R48" s="100">
        <f>Q48*1.42</f>
        <v>69.864000000000004</v>
      </c>
      <c r="S48" s="1">
        <f>F48-R48</f>
        <v>0</v>
      </c>
      <c r="U48" s="39">
        <f>+U54/25</f>
        <v>14.55</v>
      </c>
      <c r="Y48" s="39">
        <f>+Y54/25</f>
        <v>5.7333333333333325</v>
      </c>
      <c r="Z48" s="100">
        <f>+Z54/25</f>
        <v>8.141333333333332</v>
      </c>
      <c r="AA48" s="1">
        <f>L48-Z48</f>
        <v>-1.7763568394002505E-14</v>
      </c>
    </row>
    <row r="49" spans="1:27" ht="6.65" customHeight="1" x14ac:dyDescent="0.3">
      <c r="B49" s="49"/>
      <c r="C49" s="49"/>
      <c r="D49" s="49"/>
      <c r="E49" s="49"/>
      <c r="F49" s="49"/>
      <c r="G49" s="49"/>
      <c r="H49" s="44"/>
      <c r="I49" s="48"/>
      <c r="J49" s="49"/>
      <c r="K49" s="44"/>
      <c r="L49" s="48"/>
      <c r="M49" s="49"/>
      <c r="N49" s="44"/>
      <c r="O49" s="44"/>
      <c r="Q49" s="49"/>
      <c r="U49" s="48"/>
      <c r="Y49" s="48"/>
    </row>
    <row r="50" spans="1:27" ht="13.5" customHeight="1" x14ac:dyDescent="0.35">
      <c r="A50"/>
      <c r="B50" s="42" t="s">
        <v>38</v>
      </c>
      <c r="C50" s="42" t="s">
        <v>93</v>
      </c>
      <c r="D50" s="55"/>
      <c r="E50" s="42" t="s">
        <v>75</v>
      </c>
      <c r="F50" s="39">
        <f>15.75*Index_tov_2018</f>
        <v>22.364999999999998</v>
      </c>
      <c r="G50" s="43"/>
      <c r="H50" s="44">
        <f t="shared" ref="H50:H51" si="41">ROUNDUP(+G50*F50*F$6,-1)</f>
        <v>0</v>
      </c>
      <c r="I50" s="39">
        <f>12*Index_tov_2018</f>
        <v>17.04</v>
      </c>
      <c r="J50" s="43"/>
      <c r="K50" s="44">
        <f t="shared" ref="K50:K51" si="42">ROUNDUP(+J50*I50*I$6,-1)</f>
        <v>0</v>
      </c>
      <c r="L50" s="39">
        <f>10*Index_tov_2018</f>
        <v>14.2</v>
      </c>
      <c r="M50" s="43"/>
      <c r="N50" s="44">
        <f t="shared" ref="N50:N51" si="43">ROUNDUP(+M50*L50*L$6,-1)</f>
        <v>0</v>
      </c>
      <c r="O50" s="44">
        <f t="shared" ref="O50" si="44">+N50+K50+H50</f>
        <v>0</v>
      </c>
      <c r="Q50" s="39">
        <v>15.75</v>
      </c>
      <c r="R50" s="100">
        <f>Q50*1.42</f>
        <v>22.364999999999998</v>
      </c>
      <c r="S50" s="1">
        <f t="shared" ref="S50:S51" si="45">F50-R50</f>
        <v>0</v>
      </c>
      <c r="U50" s="39">
        <v>12</v>
      </c>
      <c r="V50" s="100">
        <f>U50*1.42</f>
        <v>17.04</v>
      </c>
      <c r="W50" s="1">
        <f>I50-V50</f>
        <v>0</v>
      </c>
      <c r="Y50" s="39">
        <v>10</v>
      </c>
      <c r="Z50" s="100">
        <f t="shared" ref="Z50" si="46">Y50*1.42</f>
        <v>14.2</v>
      </c>
      <c r="AA50" s="1">
        <f>L50-Z50</f>
        <v>0</v>
      </c>
    </row>
    <row r="51" spans="1:27" ht="13.5" customHeight="1" x14ac:dyDescent="0.35">
      <c r="A51"/>
      <c r="B51" s="42" t="s">
        <v>39</v>
      </c>
      <c r="C51" s="45" t="s">
        <v>104</v>
      </c>
      <c r="D51" s="55"/>
      <c r="E51" s="42" t="s">
        <v>105</v>
      </c>
      <c r="F51" s="39">
        <f>18.9*Index_tov_2018</f>
        <v>26.837999999999997</v>
      </c>
      <c r="G51" s="43"/>
      <c r="H51" s="44">
        <f t="shared" si="41"/>
        <v>0</v>
      </c>
      <c r="I51" s="39">
        <f>12*Index_tov_2018</f>
        <v>17.04</v>
      </c>
      <c r="J51" s="43"/>
      <c r="K51" s="44">
        <f t="shared" si="42"/>
        <v>0</v>
      </c>
      <c r="L51" s="39">
        <f>10*Index_tov_2018</f>
        <v>14.2</v>
      </c>
      <c r="M51" s="43"/>
      <c r="N51" s="44">
        <f t="shared" si="43"/>
        <v>0</v>
      </c>
      <c r="O51" s="44">
        <f t="shared" ref="O51" si="47">+N51+K51+H51</f>
        <v>0</v>
      </c>
      <c r="Q51" s="39">
        <v>18.899999999999999</v>
      </c>
      <c r="R51" s="100">
        <f>Q51*1.42</f>
        <v>26.837999999999997</v>
      </c>
      <c r="S51" s="1">
        <f t="shared" si="45"/>
        <v>0</v>
      </c>
      <c r="U51" s="39">
        <v>12</v>
      </c>
      <c r="V51" s="100">
        <f>U51*1.42</f>
        <v>17.04</v>
      </c>
      <c r="W51" s="1">
        <f>I51-V51</f>
        <v>0</v>
      </c>
      <c r="Y51" s="39">
        <v>10</v>
      </c>
      <c r="Z51" s="100">
        <f t="shared" ref="Z51" si="48">Y51*1.42</f>
        <v>14.2</v>
      </c>
      <c r="AA51" s="1">
        <f>L51-Z51</f>
        <v>0</v>
      </c>
    </row>
    <row r="52" spans="1:27" ht="12.5" x14ac:dyDescent="0.25">
      <c r="A52"/>
      <c r="B52" s="42"/>
      <c r="C52" s="45"/>
      <c r="D52" s="55"/>
      <c r="E52" s="42"/>
      <c r="F52" s="39"/>
      <c r="G52" s="43"/>
      <c r="H52" s="44"/>
      <c r="I52" s="39"/>
      <c r="J52" s="43"/>
      <c r="K52" s="44"/>
      <c r="L52" s="39"/>
      <c r="M52" s="43"/>
      <c r="N52" s="44"/>
      <c r="O52" s="44"/>
      <c r="U52" s="39"/>
      <c r="Y52" s="39"/>
    </row>
    <row r="53" spans="1:27" x14ac:dyDescent="0.3">
      <c r="A53"/>
      <c r="B53" s="33"/>
      <c r="C53" s="34"/>
      <c r="D53" s="34"/>
      <c r="E53" s="34"/>
      <c r="F53" s="39" t="s">
        <v>6</v>
      </c>
      <c r="G53" s="40" t="s">
        <v>48</v>
      </c>
      <c r="H53" s="41" t="s">
        <v>7</v>
      </c>
      <c r="I53" s="54" t="s">
        <v>6</v>
      </c>
      <c r="J53" s="40" t="s">
        <v>48</v>
      </c>
      <c r="K53" s="41" t="s">
        <v>7</v>
      </c>
      <c r="L53" s="54" t="s">
        <v>6</v>
      </c>
      <c r="M53" s="40" t="s">
        <v>48</v>
      </c>
      <c r="N53" s="41" t="s">
        <v>7</v>
      </c>
      <c r="O53" s="36"/>
      <c r="Q53" s="39" t="s">
        <v>6</v>
      </c>
      <c r="U53" s="54" t="s">
        <v>6</v>
      </c>
      <c r="Y53" s="54" t="s">
        <v>6</v>
      </c>
    </row>
    <row r="54" spans="1:27" ht="12" customHeight="1" x14ac:dyDescent="0.35">
      <c r="A54"/>
      <c r="B54" s="42" t="s">
        <v>107</v>
      </c>
      <c r="C54" s="42" t="s">
        <v>53</v>
      </c>
      <c r="D54" s="55"/>
      <c r="E54" s="42" t="s">
        <v>22</v>
      </c>
      <c r="F54" s="39">
        <f>1230*Index_tov_2018</f>
        <v>1746.6</v>
      </c>
      <c r="G54" s="43"/>
      <c r="H54" s="44">
        <f>ROUNDUP(+G54*F54*F$6,-1)</f>
        <v>0</v>
      </c>
      <c r="I54" s="39">
        <f>363.75*Index_tov_2018</f>
        <v>516.52499999999998</v>
      </c>
      <c r="J54" s="43"/>
      <c r="K54" s="44">
        <f>ROUNDUP(+J54*I54*I$6,-1)</f>
        <v>0</v>
      </c>
      <c r="L54" s="39">
        <f>143.333333333333*Index_tov_2018</f>
        <v>203.53333333333285</v>
      </c>
      <c r="M54" s="43"/>
      <c r="N54" s="44">
        <f>ROUNDUP(+M54*L54*L$6,-1)</f>
        <v>0</v>
      </c>
      <c r="O54" s="44">
        <f t="shared" ref="O54:O59" si="49">+N54+K54+H54</f>
        <v>0</v>
      </c>
      <c r="Q54" s="39">
        <v>1230</v>
      </c>
      <c r="R54" s="100">
        <f t="shared" ref="R54" si="50">Q54*1.42</f>
        <v>1746.6</v>
      </c>
      <c r="S54" s="1">
        <f>F54-R54</f>
        <v>0</v>
      </c>
      <c r="U54" s="39">
        <v>363.75</v>
      </c>
      <c r="V54" s="100">
        <f t="shared" ref="V54" si="51">U54*1.42</f>
        <v>516.52499999999998</v>
      </c>
      <c r="W54" s="1">
        <f>I54-V54</f>
        <v>0</v>
      </c>
      <c r="Y54" s="39">
        <v>143.33333333333331</v>
      </c>
      <c r="Z54" s="100">
        <f t="shared" ref="Z54" si="52">Y54*1.42</f>
        <v>203.5333333333333</v>
      </c>
      <c r="AA54" s="1">
        <f>L54-Z54</f>
        <v>-4.5474735088646412E-13</v>
      </c>
    </row>
    <row r="55" spans="1:27" ht="6.65" customHeight="1" x14ac:dyDescent="0.3">
      <c r="B55" s="49"/>
      <c r="C55" s="49"/>
      <c r="D55" s="49"/>
      <c r="E55" s="49"/>
      <c r="F55"/>
      <c r="G55" s="49"/>
      <c r="H55" s="44"/>
      <c r="I55" s="48"/>
      <c r="J55" s="49"/>
      <c r="K55" s="44"/>
      <c r="L55" s="48"/>
      <c r="M55" s="49"/>
      <c r="N55" s="44"/>
      <c r="O55" s="44"/>
      <c r="U55" s="48"/>
      <c r="V55" s="48"/>
      <c r="Y55" s="48"/>
    </row>
    <row r="56" spans="1:27" ht="14.25" customHeight="1" x14ac:dyDescent="0.35">
      <c r="A56"/>
      <c r="B56" s="42" t="s">
        <v>40</v>
      </c>
      <c r="C56" s="42" t="s">
        <v>100</v>
      </c>
      <c r="D56" s="55"/>
      <c r="E56" s="42" t="s">
        <v>102</v>
      </c>
      <c r="F56" s="39">
        <f>28350*Index_tov_2018</f>
        <v>40257</v>
      </c>
      <c r="G56" s="43"/>
      <c r="H56" s="44">
        <f t="shared" ref="H56:H66" si="53">ROUNDUP(+G56*F56*F$6,-1)</f>
        <v>0</v>
      </c>
      <c r="I56" s="39">
        <f>10000*Index_tov_2018</f>
        <v>14200</v>
      </c>
      <c r="J56" s="43"/>
      <c r="K56" s="44">
        <f t="shared" ref="K56:K66" si="54">ROUNDUP(+J56*I56*I$6,-1)</f>
        <v>0</v>
      </c>
      <c r="L56" s="39">
        <f>5000*Index_tov_2018</f>
        <v>7100</v>
      </c>
      <c r="M56" s="43"/>
      <c r="N56" s="44">
        <f>ROUNDUP(+M56*L56*L$6,-1)</f>
        <v>0</v>
      </c>
      <c r="O56" s="44">
        <f t="shared" ref="O56" si="55">+N56+K56+H56</f>
        <v>0</v>
      </c>
      <c r="Q56" s="39">
        <v>28350</v>
      </c>
      <c r="R56" s="100">
        <f t="shared" ref="R56:R57" si="56">Q56*1.42</f>
        <v>40257</v>
      </c>
      <c r="S56" s="1">
        <f t="shared" ref="S56:S57" si="57">F56-R56</f>
        <v>0</v>
      </c>
      <c r="U56" s="39">
        <v>10000</v>
      </c>
      <c r="V56" s="100">
        <f t="shared" ref="V56:V57" si="58">U56*1.42</f>
        <v>14200</v>
      </c>
      <c r="W56" s="1">
        <f>I56-V56</f>
        <v>0</v>
      </c>
      <c r="Y56" s="39">
        <v>5000</v>
      </c>
      <c r="Z56" s="100">
        <f t="shared" ref="Z56" si="59">Y56*1.42</f>
        <v>7100</v>
      </c>
      <c r="AA56" s="1">
        <f>L56-Z56</f>
        <v>0</v>
      </c>
    </row>
    <row r="57" spans="1:27" ht="14.25" customHeight="1" x14ac:dyDescent="0.35">
      <c r="A57"/>
      <c r="B57" s="42" t="s">
        <v>41</v>
      </c>
      <c r="C57" s="42" t="s">
        <v>103</v>
      </c>
      <c r="D57" s="55"/>
      <c r="E57" s="42" t="s">
        <v>101</v>
      </c>
      <c r="F57" s="39">
        <f>5000*Index_tov_2018</f>
        <v>7100</v>
      </c>
      <c r="G57" s="43"/>
      <c r="H57" s="44">
        <f t="shared" si="53"/>
        <v>0</v>
      </c>
      <c r="I57" s="39">
        <f>2000*Index_tov_2018</f>
        <v>2840</v>
      </c>
      <c r="J57" s="43"/>
      <c r="K57" s="44">
        <f t="shared" si="54"/>
        <v>0</v>
      </c>
      <c r="L57" s="46"/>
      <c r="M57" s="46"/>
      <c r="N57" s="47"/>
      <c r="O57" s="44">
        <f t="shared" ref="O57" si="60">+N57+K57+H57</f>
        <v>0</v>
      </c>
      <c r="Q57" s="39">
        <v>5000</v>
      </c>
      <c r="R57" s="100">
        <f t="shared" si="56"/>
        <v>7100</v>
      </c>
      <c r="S57" s="1">
        <f t="shared" si="57"/>
        <v>0</v>
      </c>
      <c r="U57" s="39">
        <v>2000</v>
      </c>
      <c r="V57" s="100">
        <f t="shared" si="58"/>
        <v>2840</v>
      </c>
      <c r="W57" s="1">
        <f>I57-V57</f>
        <v>0</v>
      </c>
      <c r="Y57" s="46"/>
    </row>
    <row r="58" spans="1:27" ht="6.65" customHeight="1" x14ac:dyDescent="0.3">
      <c r="B58" s="49"/>
      <c r="C58" s="49"/>
      <c r="D58" s="49"/>
      <c r="E58" s="49"/>
      <c r="F58" s="49"/>
      <c r="G58" s="49"/>
      <c r="H58" s="44"/>
      <c r="I58" s="48"/>
      <c r="J58" s="49"/>
      <c r="K58" s="44"/>
      <c r="L58" s="48"/>
      <c r="M58" s="49"/>
      <c r="N58" s="44"/>
      <c r="O58" s="44"/>
      <c r="Q58" s="49"/>
      <c r="U58" s="48"/>
      <c r="Y58" s="48"/>
    </row>
    <row r="59" spans="1:27" ht="13.5" customHeight="1" x14ac:dyDescent="0.35">
      <c r="A59"/>
      <c r="B59" s="42" t="s">
        <v>108</v>
      </c>
      <c r="C59" s="42" t="s">
        <v>117</v>
      </c>
      <c r="D59" s="55"/>
      <c r="E59" s="42" t="s">
        <v>83</v>
      </c>
      <c r="F59" s="39">
        <f>7260*Index_tov_2018</f>
        <v>10309.199999999999</v>
      </c>
      <c r="G59" s="43"/>
      <c r="H59" s="44">
        <f t="shared" si="53"/>
        <v>0</v>
      </c>
      <c r="I59" s="39">
        <f>+F59/2</f>
        <v>5154.5999999999995</v>
      </c>
      <c r="J59" s="43"/>
      <c r="K59" s="44">
        <f t="shared" si="54"/>
        <v>0</v>
      </c>
      <c r="L59" s="39">
        <f>1000*Index_tov_2018</f>
        <v>1420</v>
      </c>
      <c r="M59" s="43"/>
      <c r="N59" s="44">
        <f t="shared" ref="N59:N66" si="61">ROUNDUP(+M59*L59*L$6,-1)</f>
        <v>0</v>
      </c>
      <c r="O59" s="44">
        <f t="shared" si="49"/>
        <v>0</v>
      </c>
      <c r="Q59" s="39">
        <v>7260</v>
      </c>
      <c r="R59" s="100">
        <f t="shared" ref="R59:R62" si="62">Q59*1.42</f>
        <v>10309.199999999999</v>
      </c>
      <c r="S59" s="1">
        <f t="shared" ref="S59:S62" si="63">F59-R59</f>
        <v>0</v>
      </c>
      <c r="U59" s="100">
        <f>+R59/2</f>
        <v>5154.5999999999995</v>
      </c>
      <c r="W59" s="1">
        <f>I59-U59</f>
        <v>0</v>
      </c>
      <c r="Y59" s="39">
        <v>1000</v>
      </c>
      <c r="Z59" s="100">
        <f t="shared" ref="Z59:Z62" si="64">Y59*1.42</f>
        <v>1420</v>
      </c>
      <c r="AA59" s="1">
        <f>L59-Z59</f>
        <v>0</v>
      </c>
    </row>
    <row r="60" spans="1:27" ht="13.5" customHeight="1" x14ac:dyDescent="0.35">
      <c r="A60"/>
      <c r="B60" s="42" t="s">
        <v>109</v>
      </c>
      <c r="C60" s="56" t="s">
        <v>80</v>
      </c>
      <c r="D60" s="55"/>
      <c r="E60" s="42" t="s">
        <v>82</v>
      </c>
      <c r="F60" s="39">
        <f>10360*Index_tov_2018</f>
        <v>14711.199999999999</v>
      </c>
      <c r="G60" s="43"/>
      <c r="H60" s="44">
        <f t="shared" si="53"/>
        <v>0</v>
      </c>
      <c r="I60" s="39">
        <f t="shared" ref="I60:I62" si="65">+F60/2</f>
        <v>7355.5999999999995</v>
      </c>
      <c r="J60" s="43"/>
      <c r="K60" s="44">
        <f t="shared" si="54"/>
        <v>0</v>
      </c>
      <c r="L60" s="39">
        <f>1500*Index_tov_2018</f>
        <v>2130</v>
      </c>
      <c r="M60" s="43"/>
      <c r="N60" s="44">
        <f t="shared" si="61"/>
        <v>0</v>
      </c>
      <c r="O60" s="44">
        <f>+N60+K60+H60</f>
        <v>0</v>
      </c>
      <c r="Q60" s="39">
        <v>10360</v>
      </c>
      <c r="R60" s="100">
        <f t="shared" si="62"/>
        <v>14711.199999999999</v>
      </c>
      <c r="S60" s="1">
        <f t="shared" si="63"/>
        <v>0</v>
      </c>
      <c r="U60" s="100">
        <f t="shared" ref="U60:U62" si="66">+R60/2</f>
        <v>7355.5999999999995</v>
      </c>
      <c r="W60" s="1">
        <f>I60-U60</f>
        <v>0</v>
      </c>
      <c r="Y60" s="39">
        <v>1500</v>
      </c>
      <c r="Z60" s="100">
        <f t="shared" si="64"/>
        <v>2130</v>
      </c>
      <c r="AA60" s="1">
        <f t="shared" ref="AA60:AA62" si="67">L60-Z60</f>
        <v>0</v>
      </c>
    </row>
    <row r="61" spans="1:27" ht="13.5" customHeight="1" x14ac:dyDescent="0.35">
      <c r="A61"/>
      <c r="B61" s="42" t="s">
        <v>110</v>
      </c>
      <c r="C61" s="56" t="s">
        <v>76</v>
      </c>
      <c r="D61" s="55"/>
      <c r="E61" s="42" t="s">
        <v>84</v>
      </c>
      <c r="F61" s="39">
        <f>10890*Index_tov_2018</f>
        <v>15463.8</v>
      </c>
      <c r="G61" s="43"/>
      <c r="H61" s="44">
        <f t="shared" si="53"/>
        <v>0</v>
      </c>
      <c r="I61" s="39">
        <f>+F61/2</f>
        <v>7731.9</v>
      </c>
      <c r="J61" s="43"/>
      <c r="K61" s="44">
        <f t="shared" si="54"/>
        <v>0</v>
      </c>
      <c r="L61" s="39">
        <f>1500*Index_tov_2018</f>
        <v>2130</v>
      </c>
      <c r="M61" s="43"/>
      <c r="N61" s="44">
        <f t="shared" si="61"/>
        <v>0</v>
      </c>
      <c r="O61" s="44">
        <f>+N61+K61+H61</f>
        <v>0</v>
      </c>
      <c r="Q61" s="39">
        <v>10890</v>
      </c>
      <c r="R61" s="100">
        <f t="shared" si="62"/>
        <v>15463.8</v>
      </c>
      <c r="S61" s="1">
        <f t="shared" si="63"/>
        <v>0</v>
      </c>
      <c r="U61" s="100">
        <f t="shared" si="66"/>
        <v>7731.9</v>
      </c>
      <c r="W61" s="1">
        <f>I61-U61</f>
        <v>0</v>
      </c>
      <c r="Y61" s="39">
        <v>1500</v>
      </c>
      <c r="Z61" s="100">
        <f t="shared" si="64"/>
        <v>2130</v>
      </c>
      <c r="AA61" s="1">
        <f t="shared" si="67"/>
        <v>0</v>
      </c>
    </row>
    <row r="62" spans="1:27" ht="13.5" customHeight="1" x14ac:dyDescent="0.35">
      <c r="A62"/>
      <c r="B62" s="42" t="s">
        <v>111</v>
      </c>
      <c r="C62" s="56" t="s">
        <v>81</v>
      </c>
      <c r="D62" s="55"/>
      <c r="E62" s="42" t="s">
        <v>85</v>
      </c>
      <c r="F62" s="39">
        <f>15540*Index_tov_2018</f>
        <v>22066.799999999999</v>
      </c>
      <c r="G62" s="43"/>
      <c r="H62" s="44">
        <f t="shared" si="53"/>
        <v>0</v>
      </c>
      <c r="I62" s="39">
        <f t="shared" si="65"/>
        <v>11033.4</v>
      </c>
      <c r="J62" s="43"/>
      <c r="K62" s="44">
        <f t="shared" si="54"/>
        <v>0</v>
      </c>
      <c r="L62" s="39">
        <f>2000*Index_tov_2018</f>
        <v>2840</v>
      </c>
      <c r="M62" s="43"/>
      <c r="N62" s="44">
        <f t="shared" si="61"/>
        <v>0</v>
      </c>
      <c r="O62" s="44">
        <f>+N62+K62+H62</f>
        <v>0</v>
      </c>
      <c r="Q62" s="39">
        <v>15540</v>
      </c>
      <c r="R62" s="100">
        <f t="shared" si="62"/>
        <v>22066.799999999999</v>
      </c>
      <c r="S62" s="1">
        <f t="shared" si="63"/>
        <v>0</v>
      </c>
      <c r="U62" s="100">
        <f t="shared" si="66"/>
        <v>11033.4</v>
      </c>
      <c r="W62" s="1">
        <f>I62-U62</f>
        <v>0</v>
      </c>
      <c r="Y62" s="39">
        <v>2000</v>
      </c>
      <c r="Z62" s="100">
        <f t="shared" si="64"/>
        <v>2840</v>
      </c>
      <c r="AA62" s="1">
        <f t="shared" si="67"/>
        <v>0</v>
      </c>
    </row>
    <row r="63" spans="1:27" ht="6.65" customHeight="1" x14ac:dyDescent="0.3">
      <c r="B63" s="49"/>
      <c r="C63" s="49"/>
      <c r="D63" s="49"/>
      <c r="E63" s="49"/>
      <c r="F63" s="49"/>
      <c r="G63" s="49"/>
      <c r="H63" s="44"/>
      <c r="I63" s="48"/>
      <c r="J63" s="49"/>
      <c r="K63" s="44"/>
      <c r="L63" s="48"/>
      <c r="M63" s="49"/>
      <c r="N63" s="44"/>
      <c r="O63" s="44"/>
      <c r="Q63" s="49"/>
      <c r="U63" s="48"/>
      <c r="Y63" s="48"/>
    </row>
    <row r="64" spans="1:27" ht="12" customHeight="1" x14ac:dyDescent="0.35">
      <c r="A64"/>
      <c r="B64" s="42" t="s">
        <v>112</v>
      </c>
      <c r="C64" s="42" t="s">
        <v>118</v>
      </c>
      <c r="D64" s="55"/>
      <c r="E64" s="42" t="s">
        <v>77</v>
      </c>
      <c r="F64" s="39">
        <f>8200*Index_tov_2018</f>
        <v>11644</v>
      </c>
      <c r="G64" s="43"/>
      <c r="H64" s="44">
        <f t="shared" si="53"/>
        <v>0</v>
      </c>
      <c r="I64" s="39">
        <f>+F64*0.8</f>
        <v>9315.2000000000007</v>
      </c>
      <c r="J64" s="43"/>
      <c r="K64" s="44">
        <f t="shared" si="54"/>
        <v>0</v>
      </c>
      <c r="L64" s="39">
        <f>1500*Index_tov_2018</f>
        <v>2130</v>
      </c>
      <c r="M64" s="43"/>
      <c r="N64" s="44">
        <f t="shared" si="61"/>
        <v>0</v>
      </c>
      <c r="O64" s="44">
        <f t="shared" si="40"/>
        <v>0</v>
      </c>
      <c r="Q64" s="39">
        <v>8200</v>
      </c>
      <c r="R64" s="100">
        <f t="shared" ref="R64:R66" si="68">Q64*1.42</f>
        <v>11644</v>
      </c>
      <c r="S64" s="1">
        <f t="shared" ref="S64:S66" si="69">F64-R64</f>
        <v>0</v>
      </c>
      <c r="U64" s="102">
        <f>+R64*0.8</f>
        <v>9315.2000000000007</v>
      </c>
      <c r="W64" s="1">
        <f>I64-U64</f>
        <v>0</v>
      </c>
      <c r="Y64" s="39">
        <v>1500</v>
      </c>
      <c r="Z64" s="100">
        <f t="shared" ref="Z64:Z66" si="70">Y64*1.42</f>
        <v>2130</v>
      </c>
      <c r="AA64" s="1">
        <f t="shared" ref="AA64:AA66" si="71">L64-Z64</f>
        <v>0</v>
      </c>
    </row>
    <row r="65" spans="1:27" ht="12" customHeight="1" x14ac:dyDescent="0.35">
      <c r="A65"/>
      <c r="B65" s="42" t="s">
        <v>113</v>
      </c>
      <c r="C65" s="56" t="s">
        <v>119</v>
      </c>
      <c r="D65" s="55"/>
      <c r="E65" s="42" t="s">
        <v>115</v>
      </c>
      <c r="F65" s="39">
        <f>19680*Index_tov_2018</f>
        <v>27945.599999999999</v>
      </c>
      <c r="G65" s="43"/>
      <c r="H65" s="44">
        <f t="shared" si="53"/>
        <v>0</v>
      </c>
      <c r="I65" s="39">
        <f>+F65*0.7</f>
        <v>19561.919999999998</v>
      </c>
      <c r="J65" s="43"/>
      <c r="K65" s="44">
        <f t="shared" si="54"/>
        <v>0</v>
      </c>
      <c r="L65" s="39">
        <f>2000*Index_tov_2018</f>
        <v>2840</v>
      </c>
      <c r="M65" s="43"/>
      <c r="N65" s="44">
        <f t="shared" si="61"/>
        <v>0</v>
      </c>
      <c r="O65" s="44">
        <f t="shared" si="40"/>
        <v>0</v>
      </c>
      <c r="Q65" s="39">
        <v>19680</v>
      </c>
      <c r="R65" s="100">
        <f t="shared" si="68"/>
        <v>27945.599999999999</v>
      </c>
      <c r="S65" s="1">
        <f t="shared" si="69"/>
        <v>0</v>
      </c>
      <c r="U65" s="102">
        <f>+R65*0.7</f>
        <v>19561.919999999998</v>
      </c>
      <c r="W65" s="1">
        <f>I65-U65</f>
        <v>0</v>
      </c>
      <c r="Y65" s="39">
        <v>2000</v>
      </c>
      <c r="Z65" s="100">
        <f t="shared" si="70"/>
        <v>2840</v>
      </c>
      <c r="AA65" s="1">
        <f t="shared" si="71"/>
        <v>0</v>
      </c>
    </row>
    <row r="66" spans="1:27" ht="12" customHeight="1" x14ac:dyDescent="0.35">
      <c r="A66"/>
      <c r="B66" s="42" t="s">
        <v>180</v>
      </c>
      <c r="C66" s="42"/>
      <c r="D66" s="55"/>
      <c r="E66" s="42" t="s">
        <v>116</v>
      </c>
      <c r="F66" s="39">
        <f>25080*Index_tov_2018</f>
        <v>35613.599999999999</v>
      </c>
      <c r="G66" s="43"/>
      <c r="H66" s="44">
        <f t="shared" si="53"/>
        <v>0</v>
      </c>
      <c r="I66" s="39">
        <f>+F66*0.7</f>
        <v>24929.519999999997</v>
      </c>
      <c r="J66" s="43"/>
      <c r="K66" s="44">
        <f t="shared" si="54"/>
        <v>0</v>
      </c>
      <c r="L66" s="39">
        <f>2000*Index_tov_2018</f>
        <v>2840</v>
      </c>
      <c r="M66" s="43"/>
      <c r="N66" s="44">
        <f t="shared" si="61"/>
        <v>0</v>
      </c>
      <c r="O66" s="44">
        <f t="shared" ref="O66" si="72">+N66+K66+H66</f>
        <v>0</v>
      </c>
      <c r="Q66" s="39">
        <v>25080</v>
      </c>
      <c r="R66" s="100">
        <f t="shared" si="68"/>
        <v>35613.599999999999</v>
      </c>
      <c r="S66" s="1">
        <f t="shared" si="69"/>
        <v>0</v>
      </c>
      <c r="U66" s="102">
        <f>+R66*0.7</f>
        <v>24929.519999999997</v>
      </c>
      <c r="W66" s="1">
        <f>I66-U66</f>
        <v>0</v>
      </c>
      <c r="Y66" s="39">
        <v>2000</v>
      </c>
      <c r="Z66" s="100">
        <f t="shared" si="70"/>
        <v>2840</v>
      </c>
      <c r="AA66" s="1">
        <f t="shared" si="71"/>
        <v>0</v>
      </c>
    </row>
    <row r="67" spans="1:27" ht="6.65" customHeight="1" x14ac:dyDescent="0.35">
      <c r="B67" s="49"/>
      <c r="C67" s="49"/>
      <c r="D67" s="49"/>
      <c r="E67" s="49"/>
      <c r="F67" s="48"/>
      <c r="G67" s="49"/>
      <c r="H67" s="44"/>
      <c r="I67" s="48"/>
      <c r="J67" s="49"/>
      <c r="K67" s="44"/>
      <c r="L67" s="48"/>
      <c r="M67" s="49"/>
      <c r="N67" s="44"/>
      <c r="O67" s="44"/>
      <c r="R67" s="101"/>
    </row>
    <row r="68" spans="1:27" x14ac:dyDescent="0.3">
      <c r="B68" s="40"/>
      <c r="C68" s="57" t="s">
        <v>170</v>
      </c>
      <c r="D68" s="40"/>
      <c r="E68" s="40"/>
      <c r="F68" s="40"/>
      <c r="G68" s="40"/>
      <c r="H68" s="41">
        <f>SUM(H8:H67)</f>
        <v>0</v>
      </c>
      <c r="I68" s="40"/>
      <c r="J68" s="40"/>
      <c r="K68" s="41">
        <f>SUM(K8:K67)</f>
        <v>0</v>
      </c>
      <c r="L68" s="40"/>
      <c r="M68" s="40"/>
      <c r="N68" s="41">
        <f>SUM(N8:N67)</f>
        <v>0</v>
      </c>
      <c r="O68" s="36">
        <f>+O47+O38+O26+O7</f>
        <v>0</v>
      </c>
    </row>
    <row r="69" spans="1:27" hidden="1" x14ac:dyDescent="0.3">
      <c r="B69" s="58"/>
      <c r="C69" s="58" t="s">
        <v>169</v>
      </c>
      <c r="D69" s="59"/>
      <c r="E69" s="58"/>
      <c r="F69" s="39"/>
      <c r="G69" s="58"/>
      <c r="H69" s="60">
        <f>+H68*$M$2</f>
        <v>0</v>
      </c>
      <c r="I69" s="39"/>
      <c r="J69" s="58"/>
      <c r="K69" s="60">
        <f>+K68*$M$2</f>
        <v>0</v>
      </c>
      <c r="L69" s="39"/>
      <c r="M69" s="58"/>
      <c r="N69" s="60">
        <f>+N68*$M$2</f>
        <v>0</v>
      </c>
      <c r="O69" s="60">
        <f>+O68*$M$2</f>
        <v>0</v>
      </c>
    </row>
    <row r="70" spans="1:27" hidden="1" x14ac:dyDescent="0.3">
      <c r="B70" s="58"/>
      <c r="C70" s="61" t="s">
        <v>98</v>
      </c>
      <c r="D70" s="62"/>
      <c r="E70" s="61"/>
      <c r="F70" s="63"/>
      <c r="G70" s="61"/>
      <c r="H70" s="60">
        <f>+H69+H68</f>
        <v>0</v>
      </c>
      <c r="I70" s="39"/>
      <c r="J70" s="58"/>
      <c r="K70" s="60">
        <f>+K69+K68</f>
        <v>0</v>
      </c>
      <c r="L70" s="39"/>
      <c r="M70" s="58"/>
      <c r="N70" s="60">
        <f>+N69+N68</f>
        <v>0</v>
      </c>
      <c r="O70" s="64">
        <f>+O69+O68</f>
        <v>0</v>
      </c>
    </row>
    <row r="71" spans="1:27" x14ac:dyDescent="0.3">
      <c r="H71"/>
      <c r="I71"/>
      <c r="K71"/>
      <c r="L71"/>
      <c r="N71"/>
      <c r="O71"/>
    </row>
    <row r="73" spans="1:27" x14ac:dyDescent="0.3">
      <c r="B73" s="65" t="s">
        <v>201</v>
      </c>
      <c r="C73" s="65"/>
      <c r="D73" s="65" t="s">
        <v>99</v>
      </c>
      <c r="E73" s="65"/>
      <c r="F73" s="65"/>
      <c r="G73" s="65" t="s">
        <v>9</v>
      </c>
      <c r="H73" s="66"/>
      <c r="I73" s="67"/>
      <c r="J73" s="68" t="s">
        <v>47</v>
      </c>
      <c r="K73" s="69"/>
      <c r="L73" s="67"/>
      <c r="M73" s="68" t="s">
        <v>10</v>
      </c>
      <c r="N73" s="69"/>
      <c r="O73" s="70" t="s">
        <v>46</v>
      </c>
    </row>
    <row r="74" spans="1:27" x14ac:dyDescent="0.3">
      <c r="B74" s="71"/>
      <c r="C74" s="71"/>
      <c r="D74" s="71"/>
      <c r="E74" s="71"/>
      <c r="F74" s="71"/>
      <c r="G74" s="71" t="s">
        <v>49</v>
      </c>
      <c r="H74" s="69" t="s">
        <v>7</v>
      </c>
      <c r="I74" s="67" t="s">
        <v>6</v>
      </c>
      <c r="J74" s="71" t="s">
        <v>49</v>
      </c>
      <c r="K74" s="69" t="s">
        <v>7</v>
      </c>
      <c r="L74" s="67" t="s">
        <v>6</v>
      </c>
      <c r="M74" s="71" t="s">
        <v>49</v>
      </c>
      <c r="N74" s="69" t="s">
        <v>7</v>
      </c>
      <c r="O74" s="70">
        <f>SUM(O75:O89)</f>
        <v>0</v>
      </c>
    </row>
    <row r="75" spans="1:27" x14ac:dyDescent="0.3">
      <c r="B75" t="s">
        <v>222</v>
      </c>
      <c r="C75" s="43" t="s">
        <v>52</v>
      </c>
      <c r="D75" s="38"/>
      <c r="E75" s="43"/>
      <c r="G75" s="43"/>
      <c r="H75" s="72">
        <v>0</v>
      </c>
      <c r="J75" s="43"/>
      <c r="K75" s="72">
        <v>0</v>
      </c>
      <c r="M75" s="43"/>
      <c r="N75" s="72">
        <v>0</v>
      </c>
      <c r="O75" s="44">
        <f t="shared" ref="O75:O88" si="73">+N75+K75+H75</f>
        <v>0</v>
      </c>
    </row>
    <row r="76" spans="1:27" x14ac:dyDescent="0.3">
      <c r="B76" t="s">
        <v>223</v>
      </c>
      <c r="C76" s="43" t="s">
        <v>206</v>
      </c>
      <c r="D76" s="38"/>
      <c r="E76" s="43"/>
      <c r="G76" s="43"/>
      <c r="H76" s="72">
        <v>0</v>
      </c>
      <c r="J76" s="43"/>
      <c r="K76" s="72">
        <v>0</v>
      </c>
      <c r="M76" s="43"/>
      <c r="N76" s="72">
        <v>0</v>
      </c>
      <c r="O76" s="44">
        <f t="shared" ref="O76" si="74">+N76+K76+H76</f>
        <v>0</v>
      </c>
    </row>
    <row r="77" spans="1:27" x14ac:dyDescent="0.3">
      <c r="B77" t="s">
        <v>224</v>
      </c>
      <c r="C77" s="43" t="s">
        <v>219</v>
      </c>
      <c r="D77" s="38"/>
      <c r="E77" s="43"/>
      <c r="G77" s="43"/>
      <c r="H77" s="72">
        <v>0</v>
      </c>
      <c r="J77" s="43"/>
      <c r="K77" s="72">
        <v>0</v>
      </c>
      <c r="M77" s="43"/>
      <c r="N77" s="72">
        <v>0</v>
      </c>
      <c r="O77" s="44">
        <f t="shared" si="73"/>
        <v>0</v>
      </c>
    </row>
    <row r="78" spans="1:27" x14ac:dyDescent="0.3">
      <c r="B78" t="s">
        <v>225</v>
      </c>
      <c r="C78" s="43" t="s">
        <v>51</v>
      </c>
      <c r="D78" s="38"/>
      <c r="E78" s="43"/>
      <c r="G78" s="43"/>
      <c r="H78" s="72">
        <v>0</v>
      </c>
      <c r="J78" s="43"/>
      <c r="K78" s="72">
        <v>0</v>
      </c>
      <c r="M78" s="43"/>
      <c r="N78" s="72">
        <v>0</v>
      </c>
      <c r="O78" s="44">
        <f t="shared" si="73"/>
        <v>0</v>
      </c>
    </row>
    <row r="79" spans="1:27" x14ac:dyDescent="0.3">
      <c r="B79" t="s">
        <v>226</v>
      </c>
      <c r="C79" s="43" t="s">
        <v>207</v>
      </c>
      <c r="D79" s="38"/>
      <c r="E79" s="43"/>
      <c r="G79" s="43"/>
      <c r="H79" s="72">
        <v>0</v>
      </c>
      <c r="J79" s="43"/>
      <c r="K79" s="72">
        <v>0</v>
      </c>
      <c r="M79" s="43"/>
      <c r="N79" s="72">
        <v>0</v>
      </c>
      <c r="O79" s="44">
        <f t="shared" si="73"/>
        <v>0</v>
      </c>
    </row>
    <row r="80" spans="1:27" ht="12.5" x14ac:dyDescent="0.25">
      <c r="A80"/>
      <c r="B80" t="s">
        <v>227</v>
      </c>
      <c r="C80" s="43" t="s">
        <v>208</v>
      </c>
      <c r="D80" s="38"/>
      <c r="E80" s="43"/>
      <c r="G80" s="43"/>
      <c r="H80" s="72">
        <v>0</v>
      </c>
      <c r="J80" s="43"/>
      <c r="K80" s="72">
        <v>0</v>
      </c>
      <c r="M80" s="43"/>
      <c r="N80" s="72">
        <v>0</v>
      </c>
      <c r="O80" s="44">
        <f t="shared" ref="O80:O86" si="75">+N80+K80+H80</f>
        <v>0</v>
      </c>
    </row>
    <row r="81" spans="1:15" ht="12.5" x14ac:dyDescent="0.25">
      <c r="A81"/>
      <c r="B81" t="s">
        <v>228</v>
      </c>
      <c r="C81" s="43" t="s">
        <v>209</v>
      </c>
      <c r="D81" s="38"/>
      <c r="E81" s="43"/>
      <c r="G81" s="43"/>
      <c r="H81" s="72">
        <v>0</v>
      </c>
      <c r="J81" s="43"/>
      <c r="K81" s="72">
        <v>0</v>
      </c>
      <c r="M81" s="43"/>
      <c r="N81" s="72">
        <v>0</v>
      </c>
      <c r="O81" s="44">
        <f t="shared" ref="O81:O83" si="76">+N81+K81+H81</f>
        <v>0</v>
      </c>
    </row>
    <row r="82" spans="1:15" ht="12.5" x14ac:dyDescent="0.25">
      <c r="A82"/>
      <c r="B82" t="s">
        <v>229</v>
      </c>
      <c r="C82" s="43" t="s">
        <v>220</v>
      </c>
      <c r="D82" s="38"/>
      <c r="E82" s="43"/>
      <c r="G82" s="43"/>
      <c r="H82" s="72">
        <v>0</v>
      </c>
      <c r="J82" s="43"/>
      <c r="K82" s="72">
        <v>0</v>
      </c>
      <c r="M82" s="43"/>
      <c r="N82" s="72">
        <v>0</v>
      </c>
      <c r="O82" s="44">
        <f t="shared" si="76"/>
        <v>0</v>
      </c>
    </row>
    <row r="83" spans="1:15" ht="12.5" x14ac:dyDescent="0.25">
      <c r="A83"/>
      <c r="B83" t="s">
        <v>230</v>
      </c>
      <c r="C83" s="43" t="s">
        <v>50</v>
      </c>
      <c r="D83" s="38"/>
      <c r="E83" s="43"/>
      <c r="G83" s="43"/>
      <c r="H83" s="72">
        <v>0</v>
      </c>
      <c r="J83" s="43"/>
      <c r="K83" s="72">
        <v>0</v>
      </c>
      <c r="M83" s="43"/>
      <c r="N83" s="72">
        <v>0</v>
      </c>
      <c r="O83" s="44">
        <f t="shared" si="76"/>
        <v>0</v>
      </c>
    </row>
    <row r="84" spans="1:15" ht="6.65" customHeight="1" x14ac:dyDescent="0.3">
      <c r="B84" s="49"/>
      <c r="C84" s="49"/>
      <c r="D84" s="49"/>
      <c r="E84" s="49"/>
      <c r="F84" s="48"/>
      <c r="G84" s="49"/>
      <c r="H84" s="44"/>
      <c r="I84" s="48"/>
      <c r="J84" s="49"/>
      <c r="K84" s="44"/>
      <c r="L84" s="48"/>
      <c r="M84" s="49"/>
      <c r="N84" s="44"/>
      <c r="O84" s="44"/>
    </row>
    <row r="85" spans="1:15" ht="12.5" x14ac:dyDescent="0.25">
      <c r="A85"/>
      <c r="B85" t="s">
        <v>231</v>
      </c>
      <c r="C85" t="s">
        <v>205</v>
      </c>
      <c r="H85" s="72">
        <v>0</v>
      </c>
      <c r="K85" s="72">
        <v>0</v>
      </c>
      <c r="N85" s="72">
        <v>0</v>
      </c>
      <c r="O85" s="44">
        <f t="shared" si="75"/>
        <v>0</v>
      </c>
    </row>
    <row r="86" spans="1:15" ht="12.5" x14ac:dyDescent="0.25">
      <c r="A86"/>
      <c r="B86" t="s">
        <v>232</v>
      </c>
      <c r="C86" t="s">
        <v>86</v>
      </c>
      <c r="H86" s="72">
        <v>0</v>
      </c>
      <c r="K86" s="72">
        <v>0</v>
      </c>
      <c r="N86" s="72">
        <v>0</v>
      </c>
      <c r="O86" s="44">
        <f t="shared" si="75"/>
        <v>0</v>
      </c>
    </row>
    <row r="87" spans="1:15" ht="12.5" x14ac:dyDescent="0.25">
      <c r="A87"/>
      <c r="B87" t="s">
        <v>233</v>
      </c>
      <c r="C87" t="s">
        <v>79</v>
      </c>
      <c r="H87" s="72">
        <v>0</v>
      </c>
      <c r="K87" s="72">
        <v>0</v>
      </c>
      <c r="N87" s="72">
        <v>0</v>
      </c>
      <c r="O87" s="44">
        <f t="shared" ref="O87" si="77">+N87+K87+H87</f>
        <v>0</v>
      </c>
    </row>
    <row r="88" spans="1:15" ht="12.5" x14ac:dyDescent="0.25">
      <c r="A88"/>
      <c r="B88" t="s">
        <v>234</v>
      </c>
      <c r="C88" t="s">
        <v>78</v>
      </c>
      <c r="H88" s="72">
        <v>0</v>
      </c>
      <c r="K88" s="72">
        <v>0</v>
      </c>
      <c r="N88" s="72">
        <v>0</v>
      </c>
      <c r="O88" s="44">
        <f t="shared" si="73"/>
        <v>0</v>
      </c>
    </row>
    <row r="89" spans="1:15" ht="6.65" customHeight="1" x14ac:dyDescent="0.25">
      <c r="A89"/>
      <c r="B89" s="49"/>
      <c r="C89" s="49"/>
      <c r="D89" s="49"/>
      <c r="E89" s="49"/>
      <c r="F89" s="49"/>
      <c r="G89" s="49"/>
      <c r="H89" s="44"/>
      <c r="I89" s="48"/>
      <c r="J89" s="49"/>
      <c r="K89" s="44"/>
      <c r="L89" s="48"/>
      <c r="M89" s="49"/>
      <c r="N89" s="44"/>
      <c r="O89" s="44"/>
    </row>
    <row r="90" spans="1:15" x14ac:dyDescent="0.3">
      <c r="A90"/>
      <c r="B90" s="58"/>
      <c r="C90" s="61" t="s">
        <v>97</v>
      </c>
      <c r="D90" s="59"/>
      <c r="E90" s="58"/>
      <c r="F90" s="73"/>
      <c r="G90" s="74"/>
      <c r="H90" s="75">
        <f>SUM(H75:H89)</f>
        <v>0</v>
      </c>
      <c r="I90" s="73"/>
      <c r="J90" s="74"/>
      <c r="K90" s="75">
        <f>SUM(K75:K89)</f>
        <v>0</v>
      </c>
      <c r="L90" s="73"/>
      <c r="M90" s="74"/>
      <c r="N90" s="75">
        <f>SUM(N75:N89)</f>
        <v>0</v>
      </c>
      <c r="O90" s="76">
        <f>SUM(O75:O89)</f>
        <v>0</v>
      </c>
    </row>
    <row r="92" spans="1:15" s="4" customFormat="1" ht="27" customHeight="1" x14ac:dyDescent="0.25">
      <c r="A92" s="77"/>
      <c r="B92" s="78"/>
      <c r="C92" s="79" t="s">
        <v>174</v>
      </c>
      <c r="D92" s="80"/>
      <c r="E92" s="78"/>
      <c r="F92" s="81"/>
      <c r="G92" s="82"/>
      <c r="H92" s="83">
        <f>+H90+H70</f>
        <v>0</v>
      </c>
      <c r="I92" s="84"/>
      <c r="J92" s="85"/>
      <c r="K92" s="83">
        <f>+K90+K70</f>
        <v>0</v>
      </c>
      <c r="L92" s="84"/>
      <c r="M92" s="85"/>
      <c r="N92" s="83">
        <f>+N90+N70</f>
        <v>0</v>
      </c>
      <c r="O92" s="83">
        <f>+O90+O70</f>
        <v>0</v>
      </c>
    </row>
  </sheetData>
  <sheetProtection sheet="1" objects="1" scenarios="1" selectLockedCells="1"/>
  <mergeCells count="10">
    <mergeCell ref="G46:H46"/>
    <mergeCell ref="G6:H6"/>
    <mergeCell ref="J6:K6"/>
    <mergeCell ref="M6:N6"/>
    <mergeCell ref="J25:K25"/>
    <mergeCell ref="G37:H37"/>
    <mergeCell ref="J37:K37"/>
    <mergeCell ref="M37:N37"/>
    <mergeCell ref="M46:N46"/>
    <mergeCell ref="J46:K46"/>
  </mergeCells>
  <dataValidations disablePrompts="1" count="2">
    <dataValidation type="list" allowBlank="1" showInputMessage="1" showErrorMessage="1" sqref="E7" xr:uid="{00000000-0002-0000-0100-000000000000}">
      <formula1>"kleurtoeslag ja,kleurtoeslag nee"</formula1>
    </dataValidation>
    <dataValidation type="list" allowBlank="1" showInputMessage="1" showErrorMessage="1" sqref="M3:M4" xr:uid="{00000000-0002-0000-0100-000001000000}">
      <formula1>"ja,nee"</formula1>
    </dataValidation>
  </dataValidations>
  <pageMargins left="0.23622047244094491" right="0.23622047244094491" top="0.35433070866141736" bottom="0.39370078740157483" header="0" footer="0"/>
  <pageSetup paperSize="9" scale="72" orientation="portrait" horizontalDpi="4294967293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>
    <pageSetUpPr fitToPage="1"/>
  </sheetPr>
  <dimension ref="A1:W104"/>
  <sheetViews>
    <sheetView tabSelected="1" zoomScaleNormal="100" zoomScaleSheetLayoutView="90" workbookViewId="0">
      <selection activeCell="D16" sqref="D16"/>
    </sheetView>
  </sheetViews>
  <sheetFormatPr defaultRowHeight="13" x14ac:dyDescent="0.3"/>
  <cols>
    <col min="1" max="1" width="5.54296875" style="2" customWidth="1"/>
    <col min="2" max="2" width="5.90625" customWidth="1"/>
    <col min="3" max="3" width="19.453125" customWidth="1"/>
    <col min="4" max="4" width="8" style="3" customWidth="1"/>
    <col min="5" max="5" width="22.6328125" customWidth="1"/>
    <col min="6" max="6" width="13.08984375" style="1" hidden="1" customWidth="1"/>
    <col min="8" max="8" width="14.453125" customWidth="1"/>
    <col min="9" max="9" width="19.08984375" style="1" hidden="1" customWidth="1"/>
    <col min="11" max="11" width="14.453125" customWidth="1"/>
    <col min="12" max="12" width="13.36328125" style="1" hidden="1" customWidth="1"/>
    <col min="14" max="14" width="14.6328125" customWidth="1"/>
    <col min="15" max="15" width="15.453125" customWidth="1"/>
    <col min="17" max="17" width="12.08984375" hidden="1" customWidth="1"/>
    <col min="18" max="18" width="11.54296875" hidden="1" customWidth="1"/>
    <col min="19" max="23" width="0" hidden="1" customWidth="1"/>
  </cols>
  <sheetData>
    <row r="1" spans="1:23" ht="13.5" thickBot="1" x14ac:dyDescent="0.35">
      <c r="Q1" s="111" t="s">
        <v>243</v>
      </c>
      <c r="R1" s="111"/>
      <c r="S1" s="111"/>
      <c r="T1" s="111"/>
      <c r="U1" s="111"/>
      <c r="V1" s="111"/>
      <c r="W1" s="111"/>
    </row>
    <row r="2" spans="1:23" ht="14.5" x14ac:dyDescent="0.35">
      <c r="B2" s="6" t="s">
        <v>0</v>
      </c>
      <c r="C2" s="7"/>
      <c r="D2" s="9"/>
      <c r="E2" s="8" t="s">
        <v>235</v>
      </c>
      <c r="F2" s="9"/>
      <c r="G2" s="9"/>
      <c r="H2" s="10" t="s">
        <v>94</v>
      </c>
      <c r="I2" s="9"/>
      <c r="J2" s="11"/>
      <c r="K2" s="11"/>
      <c r="L2" s="9"/>
      <c r="M2" s="12">
        <v>0.8</v>
      </c>
      <c r="N2" s="13" t="str">
        <f>IF(M2=80%,"","onderbouwing opslagen bijvoegen")</f>
        <v/>
      </c>
      <c r="O2" s="14"/>
      <c r="Q2" s="99" t="s">
        <v>236</v>
      </c>
      <c r="R2" s="95"/>
    </row>
    <row r="3" spans="1:23" ht="14.5" x14ac:dyDescent="0.35">
      <c r="B3" s="15" t="s">
        <v>2</v>
      </c>
      <c r="C3" s="16"/>
      <c r="D3" s="18"/>
      <c r="E3" s="17" t="s">
        <v>235</v>
      </c>
      <c r="F3" s="18"/>
      <c r="G3" s="18"/>
      <c r="H3" s="19" t="s">
        <v>96</v>
      </c>
      <c r="I3" s="18"/>
      <c r="J3" s="20"/>
      <c r="K3" s="20"/>
      <c r="L3" s="18"/>
      <c r="M3" s="21" t="s">
        <v>211</v>
      </c>
      <c r="N3" s="22" t="str">
        <f>IF(M3="nee","","onderbouwing opslagen bijvoegen")</f>
        <v/>
      </c>
      <c r="O3" s="23"/>
      <c r="Q3" s="98" t="s">
        <v>237</v>
      </c>
      <c r="R3" s="103">
        <f>Index_tov_2018</f>
        <v>1.42</v>
      </c>
      <c r="S3" s="106" t="s">
        <v>241</v>
      </c>
      <c r="T3" s="107" t="s">
        <v>244</v>
      </c>
      <c r="U3" s="42"/>
      <c r="V3" s="42"/>
    </row>
    <row r="4" spans="1:23" ht="15" thickBot="1" x14ac:dyDescent="0.4">
      <c r="B4" s="24" t="s">
        <v>1</v>
      </c>
      <c r="C4" s="27"/>
      <c r="D4" s="27"/>
      <c r="E4" s="25"/>
      <c r="F4" s="27"/>
      <c r="G4" s="27"/>
      <c r="H4" s="28" t="s">
        <v>95</v>
      </c>
      <c r="I4" s="27"/>
      <c r="J4" s="29"/>
      <c r="K4" s="29"/>
      <c r="L4" s="27"/>
      <c r="M4" s="30" t="s">
        <v>211</v>
      </c>
      <c r="N4" s="31" t="str">
        <f>IF(M4="nee","","onderbouwing bijvoegen")</f>
        <v/>
      </c>
      <c r="O4" s="32"/>
      <c r="Q4" s="96" t="s">
        <v>235</v>
      </c>
      <c r="R4" s="97"/>
    </row>
    <row r="6" spans="1:23" x14ac:dyDescent="0.3">
      <c r="A6" s="2" t="s">
        <v>24</v>
      </c>
      <c r="B6" s="33" t="s">
        <v>192</v>
      </c>
      <c r="C6" s="34"/>
      <c r="D6" s="34"/>
      <c r="E6" s="34"/>
      <c r="F6" s="35">
        <v>1</v>
      </c>
      <c r="G6" s="114" t="s">
        <v>16</v>
      </c>
      <c r="H6" s="114"/>
      <c r="I6" s="35">
        <f>+F6</f>
        <v>1</v>
      </c>
      <c r="J6" s="114" t="s">
        <v>58</v>
      </c>
      <c r="K6" s="114"/>
      <c r="L6" s="35">
        <f>+F6</f>
        <v>1</v>
      </c>
      <c r="M6" s="114" t="s">
        <v>17</v>
      </c>
      <c r="N6" s="114"/>
      <c r="O6" s="57" t="s">
        <v>46</v>
      </c>
      <c r="Q6" s="35">
        <v>1</v>
      </c>
      <c r="R6" s="105" t="s">
        <v>239</v>
      </c>
      <c r="S6" s="104" t="s">
        <v>238</v>
      </c>
    </row>
    <row r="7" spans="1:23" x14ac:dyDescent="0.3">
      <c r="B7" s="34"/>
      <c r="C7" s="34"/>
      <c r="D7" s="37" t="s">
        <v>134</v>
      </c>
      <c r="E7" s="34"/>
      <c r="F7" s="39" t="s">
        <v>125</v>
      </c>
      <c r="G7" s="40" t="s">
        <v>48</v>
      </c>
      <c r="H7" s="40" t="s">
        <v>7</v>
      </c>
      <c r="I7" s="39" t="s">
        <v>67</v>
      </c>
      <c r="J7" s="40" t="s">
        <v>8</v>
      </c>
      <c r="K7" s="40" t="s">
        <v>7</v>
      </c>
      <c r="L7" s="39" t="s">
        <v>67</v>
      </c>
      <c r="M7" s="40" t="s">
        <v>8</v>
      </c>
      <c r="N7" s="40" t="s">
        <v>7</v>
      </c>
      <c r="O7" s="53">
        <f>SUM(O8:O30)</f>
        <v>0</v>
      </c>
      <c r="Q7" s="39" t="s">
        <v>125</v>
      </c>
      <c r="R7" s="39" t="s">
        <v>125</v>
      </c>
      <c r="S7" s="1" t="s">
        <v>235</v>
      </c>
    </row>
    <row r="8" spans="1:23" x14ac:dyDescent="0.3">
      <c r="B8" s="42" t="s">
        <v>28</v>
      </c>
      <c r="C8" s="42" t="s">
        <v>120</v>
      </c>
      <c r="D8" s="38">
        <v>7</v>
      </c>
      <c r="E8" s="42" t="s">
        <v>133</v>
      </c>
      <c r="F8" s="39">
        <f>669.25875*Index_tov_2018</f>
        <v>950.34742499999993</v>
      </c>
      <c r="G8" s="43"/>
      <c r="H8" s="44">
        <f>ROUNDUP(+G8*F8*$D8*F$6,-1)</f>
        <v>0</v>
      </c>
      <c r="I8" s="46"/>
      <c r="J8" s="46"/>
      <c r="K8" s="86"/>
      <c r="L8" s="46"/>
      <c r="M8" s="46"/>
      <c r="N8" s="86"/>
      <c r="O8" s="48">
        <f>+N8+K8+H8</f>
        <v>0</v>
      </c>
      <c r="Q8" s="39">
        <f>669.25875</f>
        <v>669.25874999999996</v>
      </c>
      <c r="R8" s="45">
        <f>Q8*1.42</f>
        <v>950.34742499999993</v>
      </c>
      <c r="S8" s="1">
        <f>F8-R8</f>
        <v>0</v>
      </c>
    </row>
    <row r="9" spans="1:23" x14ac:dyDescent="0.3">
      <c r="B9" s="42" t="s">
        <v>29</v>
      </c>
      <c r="C9" s="42"/>
      <c r="D9" s="38">
        <v>7</v>
      </c>
      <c r="E9" s="42" t="s">
        <v>131</v>
      </c>
      <c r="F9" s="39">
        <f>940.875457142857*Index_tov_2018</f>
        <v>1336.0431491428569</v>
      </c>
      <c r="G9" s="43"/>
      <c r="H9" s="44">
        <f t="shared" ref="H9:H18" si="0">ROUNDUP(+G9*F9*$D9*F$6,-1)</f>
        <v>0</v>
      </c>
      <c r="I9" s="46"/>
      <c r="J9" s="46"/>
      <c r="K9" s="86"/>
      <c r="L9" s="46"/>
      <c r="M9" s="46"/>
      <c r="N9" s="86"/>
      <c r="O9" s="48">
        <f>+N9+K9+H9</f>
        <v>0</v>
      </c>
      <c r="Q9" s="39">
        <v>940.87545714285716</v>
      </c>
      <c r="R9" s="45">
        <f>Q9*1.42</f>
        <v>1336.0431491428571</v>
      </c>
      <c r="S9" s="1">
        <f>F9-R9</f>
        <v>0</v>
      </c>
    </row>
    <row r="10" spans="1:23" x14ac:dyDescent="0.3">
      <c r="B10" s="42" t="s">
        <v>176</v>
      </c>
      <c r="C10" s="45"/>
      <c r="D10" s="38">
        <v>10</v>
      </c>
      <c r="E10" s="42" t="s">
        <v>132</v>
      </c>
      <c r="F10" s="39">
        <f>1074.0875*Index_tov_2018</f>
        <v>1525.20425</v>
      </c>
      <c r="G10" s="43"/>
      <c r="H10" s="44">
        <f t="shared" si="0"/>
        <v>0</v>
      </c>
      <c r="I10" s="46"/>
      <c r="J10" s="46"/>
      <c r="K10" s="86"/>
      <c r="L10" s="46"/>
      <c r="M10" s="46"/>
      <c r="N10" s="86"/>
      <c r="O10" s="48">
        <f>+N10+K10+H10</f>
        <v>0</v>
      </c>
      <c r="Q10" s="39">
        <v>1074.0875000000001</v>
      </c>
      <c r="R10" s="45">
        <f>Q10*1.42</f>
        <v>1525.20425</v>
      </c>
      <c r="S10" s="1">
        <f>F10-R10</f>
        <v>0</v>
      </c>
    </row>
    <row r="11" spans="1:23" ht="6.65" customHeight="1" x14ac:dyDescent="0.3">
      <c r="B11" s="48"/>
      <c r="C11" s="48"/>
      <c r="D11" s="48"/>
      <c r="E11" s="48"/>
      <c r="F11" s="48"/>
      <c r="G11" s="49"/>
      <c r="H11" s="48"/>
      <c r="I11" s="48"/>
      <c r="J11" s="49"/>
      <c r="K11" s="48"/>
      <c r="L11" s="48"/>
      <c r="M11" s="49"/>
      <c r="N11" s="48"/>
      <c r="O11" s="48"/>
      <c r="Q11" s="48"/>
      <c r="R11" s="48"/>
    </row>
    <row r="12" spans="1:23" x14ac:dyDescent="0.3">
      <c r="B12" s="42" t="s">
        <v>214</v>
      </c>
      <c r="C12" s="42" t="s">
        <v>124</v>
      </c>
      <c r="D12" s="38">
        <v>7</v>
      </c>
      <c r="E12" s="42" t="s">
        <v>133</v>
      </c>
      <c r="F12" s="39">
        <f>909.00625*Index_tov_2018</f>
        <v>1290.788875</v>
      </c>
      <c r="G12" s="43"/>
      <c r="H12" s="44">
        <f t="shared" si="0"/>
        <v>0</v>
      </c>
      <c r="I12" s="46"/>
      <c r="J12" s="46"/>
      <c r="K12" s="86"/>
      <c r="L12" s="46"/>
      <c r="M12" s="46"/>
      <c r="N12" s="86"/>
      <c r="O12" s="48">
        <f>+N12+K12+H12</f>
        <v>0</v>
      </c>
      <c r="Q12" s="39">
        <v>909.0062499999998</v>
      </c>
      <c r="R12" s="45">
        <f>Q12*1.42</f>
        <v>1290.7888749999997</v>
      </c>
      <c r="S12" s="1">
        <f>F12-R12</f>
        <v>0</v>
      </c>
    </row>
    <row r="13" spans="1:23" x14ac:dyDescent="0.3">
      <c r="B13" s="42" t="s">
        <v>215</v>
      </c>
      <c r="C13" s="42"/>
      <c r="D13" s="38">
        <v>7</v>
      </c>
      <c r="E13" s="42" t="s">
        <v>131</v>
      </c>
      <c r="F13" s="39">
        <f>1120.39757142857*Index_tov_2018</f>
        <v>1590.9645514285694</v>
      </c>
      <c r="G13" s="43"/>
      <c r="H13" s="44">
        <f t="shared" si="0"/>
        <v>0</v>
      </c>
      <c r="I13" s="46"/>
      <c r="J13" s="46"/>
      <c r="K13" s="86"/>
      <c r="L13" s="46"/>
      <c r="M13" s="46"/>
      <c r="N13" s="86"/>
      <c r="O13" s="48">
        <f>+N13+K13+H13</f>
        <v>0</v>
      </c>
      <c r="Q13" s="39">
        <v>1120.3975714285714</v>
      </c>
      <c r="R13" s="45">
        <f>Q13*1.42</f>
        <v>1590.9645514285712</v>
      </c>
      <c r="S13" s="1">
        <f>F13-R13</f>
        <v>-1.8189894035458565E-12</v>
      </c>
    </row>
    <row r="14" spans="1:23" x14ac:dyDescent="0.3">
      <c r="B14" s="42" t="s">
        <v>216</v>
      </c>
      <c r="C14" s="45"/>
      <c r="D14" s="38">
        <v>10</v>
      </c>
      <c r="E14" s="42" t="s">
        <v>132</v>
      </c>
      <c r="F14" s="39">
        <f>1199.0825*Index_tov_2018</f>
        <v>1702.69715</v>
      </c>
      <c r="G14" s="43"/>
      <c r="H14" s="44">
        <f t="shared" si="0"/>
        <v>0</v>
      </c>
      <c r="I14" s="46"/>
      <c r="J14" s="46"/>
      <c r="K14" s="86"/>
      <c r="L14" s="46"/>
      <c r="M14" s="46"/>
      <c r="N14" s="86"/>
      <c r="O14" s="48">
        <f>+N14+K14+H14</f>
        <v>0</v>
      </c>
      <c r="Q14" s="39">
        <v>1199.0825</v>
      </c>
      <c r="R14" s="45">
        <f>Q14*1.42</f>
        <v>1702.69715</v>
      </c>
      <c r="S14" s="1">
        <f>F14-R14</f>
        <v>0</v>
      </c>
    </row>
    <row r="15" spans="1:23" ht="6.65" customHeight="1" x14ac:dyDescent="0.3">
      <c r="B15" s="48"/>
      <c r="C15" s="48"/>
      <c r="D15" s="48"/>
      <c r="E15" s="48"/>
      <c r="F15" s="48"/>
      <c r="G15" s="49"/>
      <c r="H15" s="48"/>
      <c r="I15" s="48"/>
      <c r="J15" s="49"/>
      <c r="K15" s="48"/>
      <c r="L15" s="48"/>
      <c r="M15" s="49"/>
      <c r="N15" s="48"/>
      <c r="O15" s="48"/>
      <c r="Q15" s="48"/>
      <c r="R15" s="48"/>
    </row>
    <row r="16" spans="1:23" x14ac:dyDescent="0.3">
      <c r="B16" s="42" t="s">
        <v>30</v>
      </c>
      <c r="C16" s="42" t="s">
        <v>126</v>
      </c>
      <c r="D16" s="38">
        <v>7</v>
      </c>
      <c r="E16" s="42" t="s">
        <v>133</v>
      </c>
      <c r="F16" s="39">
        <f>1035.74346428571*Index_tov_2018</f>
        <v>1470.755719285708</v>
      </c>
      <c r="G16" s="43"/>
      <c r="H16" s="44">
        <f t="shared" si="0"/>
        <v>0</v>
      </c>
      <c r="I16" s="46"/>
      <c r="J16" s="46"/>
      <c r="K16" s="86"/>
      <c r="L16" s="46"/>
      <c r="M16" s="46"/>
      <c r="N16" s="86"/>
      <c r="O16" s="48">
        <f t="shared" ref="O16:O18" si="1">+N16+K16+H16</f>
        <v>0</v>
      </c>
      <c r="Q16" s="39">
        <v>1035.7434642857143</v>
      </c>
      <c r="R16" s="45">
        <f>Q16*1.42</f>
        <v>1470.7557192857141</v>
      </c>
      <c r="S16" s="1">
        <f>F16-R16</f>
        <v>-6.1390892369672656E-12</v>
      </c>
    </row>
    <row r="17" spans="1:19" x14ac:dyDescent="0.3">
      <c r="B17" s="42" t="s">
        <v>31</v>
      </c>
      <c r="C17" s="42"/>
      <c r="D17" s="38">
        <v>7</v>
      </c>
      <c r="E17" s="42" t="s">
        <v>131</v>
      </c>
      <c r="F17" s="39">
        <f>1303.5756*Index_tov_2018</f>
        <v>1851.0773519999998</v>
      </c>
      <c r="G17" s="43"/>
      <c r="H17" s="44">
        <f t="shared" si="0"/>
        <v>0</v>
      </c>
      <c r="I17" s="46"/>
      <c r="J17" s="46"/>
      <c r="K17" s="86"/>
      <c r="L17" s="46"/>
      <c r="M17" s="46"/>
      <c r="N17" s="86"/>
      <c r="O17" s="48">
        <f t="shared" si="1"/>
        <v>0</v>
      </c>
      <c r="P17" s="1"/>
      <c r="Q17" s="39">
        <v>1303.5756000000001</v>
      </c>
      <c r="R17" s="45">
        <f>Q17*1.42</f>
        <v>1851.077352</v>
      </c>
      <c r="S17" s="1">
        <f>F17-R17</f>
        <v>0</v>
      </c>
    </row>
    <row r="18" spans="1:19" x14ac:dyDescent="0.3">
      <c r="B18" s="42" t="s">
        <v>32</v>
      </c>
      <c r="C18" s="42"/>
      <c r="D18" s="38">
        <v>10</v>
      </c>
      <c r="E18" s="42" t="s">
        <v>132</v>
      </c>
      <c r="F18" s="39">
        <f>1478.4855*Index_tov_2018</f>
        <v>2099.4494099999997</v>
      </c>
      <c r="G18" s="43"/>
      <c r="H18" s="44">
        <f t="shared" si="0"/>
        <v>0</v>
      </c>
      <c r="I18" s="46"/>
      <c r="J18" s="46"/>
      <c r="K18" s="86"/>
      <c r="L18" s="46"/>
      <c r="M18" s="46"/>
      <c r="N18" s="86"/>
      <c r="O18" s="48">
        <f t="shared" si="1"/>
        <v>0</v>
      </c>
      <c r="P18" s="1"/>
      <c r="Q18" s="39">
        <v>1478.4855</v>
      </c>
      <c r="R18" s="45">
        <f>Q18*1.42</f>
        <v>2099.4494099999997</v>
      </c>
      <c r="S18" s="1">
        <f>F18-R18</f>
        <v>0</v>
      </c>
    </row>
    <row r="19" spans="1:19" ht="6.65" customHeight="1" x14ac:dyDescent="0.25">
      <c r="A19"/>
      <c r="B19" s="48"/>
      <c r="C19" s="48"/>
      <c r="D19" s="48"/>
      <c r="E19" s="48"/>
      <c r="F19" s="48"/>
      <c r="G19" s="49"/>
      <c r="H19" s="48"/>
      <c r="I19" s="48"/>
      <c r="J19" s="49"/>
      <c r="K19" s="48"/>
      <c r="L19" s="48"/>
      <c r="M19" s="49"/>
      <c r="N19" s="48"/>
      <c r="O19" s="48"/>
      <c r="Q19" s="48"/>
      <c r="R19" s="48"/>
    </row>
    <row r="20" spans="1:19" ht="6.65" hidden="1" customHeight="1" x14ac:dyDescent="0.25">
      <c r="A20"/>
      <c r="B20" s="42"/>
      <c r="C20" s="42"/>
      <c r="E20" s="42"/>
      <c r="F20" s="48"/>
      <c r="G20" s="49"/>
      <c r="H20" s="48"/>
      <c r="I20" s="48"/>
      <c r="J20" s="49"/>
      <c r="K20" s="48"/>
      <c r="L20" s="48"/>
      <c r="M20" s="49"/>
      <c r="N20" s="48"/>
      <c r="O20" s="48"/>
      <c r="Q20" s="48"/>
      <c r="R20" s="48"/>
      <c r="S20" s="1">
        <f>F20-R20</f>
        <v>0</v>
      </c>
    </row>
    <row r="21" spans="1:19" hidden="1" x14ac:dyDescent="0.3">
      <c r="A21"/>
      <c r="B21" s="42" t="s">
        <v>57</v>
      </c>
      <c r="C21" s="42"/>
      <c r="D21" s="50">
        <v>0.15</v>
      </c>
      <c r="E21" s="42" t="s">
        <v>73</v>
      </c>
      <c r="F21" s="39"/>
      <c r="G21" s="40"/>
      <c r="H21" s="40"/>
      <c r="I21" s="39"/>
      <c r="J21" s="57" t="s">
        <v>87</v>
      </c>
      <c r="K21" s="40"/>
      <c r="L21" s="39"/>
      <c r="M21" s="40"/>
      <c r="N21" s="40"/>
      <c r="O21" s="57"/>
      <c r="Q21" s="39"/>
      <c r="R21" s="39"/>
      <c r="S21" s="1">
        <f>F21-R21</f>
        <v>0</v>
      </c>
    </row>
    <row r="22" spans="1:19" hidden="1" x14ac:dyDescent="0.3">
      <c r="B22" s="42"/>
      <c r="C22" s="42"/>
      <c r="D22" s="3" t="s">
        <v>65</v>
      </c>
      <c r="E22" s="42"/>
      <c r="F22" s="39" t="s">
        <v>67</v>
      </c>
      <c r="G22" s="40"/>
      <c r="H22" s="40"/>
      <c r="I22" s="39" t="s">
        <v>67</v>
      </c>
      <c r="J22" s="40" t="s">
        <v>8</v>
      </c>
      <c r="K22" s="40" t="s">
        <v>7</v>
      </c>
      <c r="L22" s="39" t="s">
        <v>67</v>
      </c>
      <c r="M22" s="40"/>
      <c r="N22" s="40"/>
      <c r="O22" s="53"/>
      <c r="Q22" s="39" t="s">
        <v>67</v>
      </c>
      <c r="R22" s="39" t="s">
        <v>67</v>
      </c>
      <c r="S22" s="1" t="e">
        <f>F22-R22</f>
        <v>#VALUE!</v>
      </c>
    </row>
    <row r="23" spans="1:19" ht="12.5" hidden="1" x14ac:dyDescent="0.25">
      <c r="A23"/>
      <c r="B23" s="42" t="s">
        <v>54</v>
      </c>
      <c r="C23" s="42" t="s">
        <v>71</v>
      </c>
      <c r="D23" s="38">
        <v>2.5</v>
      </c>
      <c r="E23" s="42" t="s">
        <v>3</v>
      </c>
      <c r="F23" s="46"/>
      <c r="G23" s="46"/>
      <c r="H23" s="86"/>
      <c r="I23" s="39"/>
      <c r="J23" s="43"/>
      <c r="K23" s="48">
        <f>+J23*I23*$D23*I$6*$D$21</f>
        <v>0</v>
      </c>
      <c r="L23" s="46"/>
      <c r="M23" s="46"/>
      <c r="N23" s="86"/>
      <c r="O23" s="48">
        <f t="shared" ref="O23:O25" si="2">+N23+K23+H23</f>
        <v>0</v>
      </c>
      <c r="Q23" s="46"/>
      <c r="R23" s="46"/>
    </row>
    <row r="24" spans="1:19" ht="12.5" hidden="1" x14ac:dyDescent="0.25">
      <c r="A24"/>
      <c r="B24" s="42" t="s">
        <v>55</v>
      </c>
      <c r="C24" s="42" t="s">
        <v>57</v>
      </c>
      <c r="D24" s="38">
        <v>2.5</v>
      </c>
      <c r="E24" s="42" t="s">
        <v>5</v>
      </c>
      <c r="F24" s="46"/>
      <c r="G24" s="46"/>
      <c r="H24" s="86"/>
      <c r="I24" s="39"/>
      <c r="J24" s="43"/>
      <c r="K24" s="48">
        <f>+J24*I24*$D24*I$6*$D$21</f>
        <v>0</v>
      </c>
      <c r="L24" s="46"/>
      <c r="M24" s="46"/>
      <c r="N24" s="86"/>
      <c r="O24" s="48">
        <f t="shared" si="2"/>
        <v>0</v>
      </c>
      <c r="Q24" s="46"/>
      <c r="R24" s="46"/>
    </row>
    <row r="25" spans="1:19" ht="12.5" hidden="1" x14ac:dyDescent="0.25">
      <c r="A25"/>
      <c r="B25" s="42" t="s">
        <v>56</v>
      </c>
      <c r="C25" s="42"/>
      <c r="D25" s="38">
        <v>2.5</v>
      </c>
      <c r="E25" s="42" t="s">
        <v>4</v>
      </c>
      <c r="F25" s="46"/>
      <c r="G25" s="46"/>
      <c r="H25" s="86"/>
      <c r="I25" s="39"/>
      <c r="J25" s="43"/>
      <c r="K25" s="48">
        <f>+J25*I25*$D25*I$6*$D$21</f>
        <v>0</v>
      </c>
      <c r="L25" s="46"/>
      <c r="M25" s="46"/>
      <c r="N25" s="86"/>
      <c r="O25" s="48">
        <f t="shared" si="2"/>
        <v>0</v>
      </c>
      <c r="Q25" s="46"/>
      <c r="R25" s="46"/>
    </row>
    <row r="26" spans="1:19" ht="6.65" hidden="1" customHeight="1" x14ac:dyDescent="0.25">
      <c r="A26"/>
      <c r="B26" s="42"/>
      <c r="C26" s="42"/>
      <c r="E26" s="42"/>
      <c r="F26" s="48"/>
      <c r="G26" s="49"/>
      <c r="H26" s="48"/>
      <c r="I26" s="48"/>
      <c r="J26" s="49"/>
      <c r="K26" s="48"/>
      <c r="L26" s="48"/>
      <c r="M26" s="49"/>
      <c r="N26" s="48"/>
      <c r="O26" s="48"/>
      <c r="Q26" s="48"/>
      <c r="R26" s="48"/>
    </row>
    <row r="27" spans="1:19" ht="12.5" hidden="1" x14ac:dyDescent="0.25">
      <c r="A27"/>
      <c r="B27" s="42" t="s">
        <v>90</v>
      </c>
      <c r="C27" s="42" t="s">
        <v>72</v>
      </c>
      <c r="D27" s="38">
        <v>2.5</v>
      </c>
      <c r="E27" s="42" t="s">
        <v>3</v>
      </c>
      <c r="F27" s="46"/>
      <c r="G27" s="46"/>
      <c r="H27" s="86"/>
      <c r="I27" s="39"/>
      <c r="J27" s="43"/>
      <c r="K27" s="48">
        <f>+J27*I27*$D27*I$6</f>
        <v>0</v>
      </c>
      <c r="L27" s="46"/>
      <c r="M27" s="46"/>
      <c r="N27" s="86"/>
      <c r="O27" s="48">
        <f t="shared" ref="O27:O29" si="3">+N27+K27+H27</f>
        <v>0</v>
      </c>
      <c r="Q27" s="46"/>
      <c r="R27" s="46"/>
    </row>
    <row r="28" spans="1:19" ht="12.5" hidden="1" x14ac:dyDescent="0.25">
      <c r="A28"/>
      <c r="B28" s="42" t="s">
        <v>59</v>
      </c>
      <c r="C28" s="42" t="s">
        <v>57</v>
      </c>
      <c r="D28" s="38">
        <v>2.5</v>
      </c>
      <c r="E28" s="42" t="s">
        <v>5</v>
      </c>
      <c r="F28" s="46"/>
      <c r="G28" s="46"/>
      <c r="H28" s="86"/>
      <c r="I28" s="39"/>
      <c r="J28" s="43"/>
      <c r="K28" s="48">
        <f>+J28*I28*$D28*I$6</f>
        <v>0</v>
      </c>
      <c r="L28" s="46"/>
      <c r="M28" s="46"/>
      <c r="N28" s="86"/>
      <c r="O28" s="48">
        <f t="shared" si="3"/>
        <v>0</v>
      </c>
      <c r="Q28" s="46"/>
      <c r="R28" s="46"/>
    </row>
    <row r="29" spans="1:19" ht="12.5" hidden="1" x14ac:dyDescent="0.25">
      <c r="A29"/>
      <c r="B29" s="42" t="s">
        <v>60</v>
      </c>
      <c r="C29" s="42"/>
      <c r="D29" s="38">
        <v>2.5</v>
      </c>
      <c r="E29" s="42" t="s">
        <v>4</v>
      </c>
      <c r="F29" s="46"/>
      <c r="G29" s="46"/>
      <c r="H29" s="86"/>
      <c r="I29" s="39"/>
      <c r="J29" s="43"/>
      <c r="K29" s="48">
        <f>+J29*I29*$D29*I$6</f>
        <v>0</v>
      </c>
      <c r="L29" s="46"/>
      <c r="M29" s="46"/>
      <c r="N29" s="86"/>
      <c r="O29" s="48">
        <f t="shared" si="3"/>
        <v>0</v>
      </c>
      <c r="Q29" s="46"/>
      <c r="R29" s="46"/>
    </row>
    <row r="30" spans="1:19" ht="6.65" hidden="1" customHeight="1" x14ac:dyDescent="0.25">
      <c r="A30"/>
      <c r="B30" s="42"/>
      <c r="C30" s="42"/>
      <c r="E30" s="42"/>
      <c r="F30" s="39"/>
      <c r="G30" s="49"/>
      <c r="H30" s="48"/>
      <c r="I30" s="48"/>
      <c r="J30" s="49"/>
      <c r="K30" s="48"/>
      <c r="L30" s="48"/>
      <c r="M30" s="49"/>
      <c r="N30" s="48"/>
      <c r="O30" s="48"/>
      <c r="Q30" s="39"/>
      <c r="R30" s="39"/>
    </row>
    <row r="31" spans="1:19" hidden="1" x14ac:dyDescent="0.3">
      <c r="B31" s="93"/>
      <c r="C31" s="42"/>
      <c r="E31" s="42"/>
      <c r="H31" t="s">
        <v>15</v>
      </c>
      <c r="J31" s="38">
        <v>0</v>
      </c>
      <c r="K31" t="s">
        <v>14</v>
      </c>
      <c r="M31" s="38">
        <v>0</v>
      </c>
      <c r="Q31" s="1"/>
      <c r="R31" s="1"/>
    </row>
    <row r="32" spans="1:19" x14ac:dyDescent="0.3">
      <c r="A32" s="2" t="s">
        <v>25</v>
      </c>
      <c r="B32" s="33" t="s">
        <v>198</v>
      </c>
      <c r="C32" s="34"/>
      <c r="D32" s="34"/>
      <c r="E32" s="34"/>
      <c r="F32" s="35">
        <f>AVERAGE(F12:F14)/AVERAGE(F8:F10)</f>
        <v>1.2027644038632861</v>
      </c>
      <c r="G32" s="114" t="s">
        <v>16</v>
      </c>
      <c r="H32" s="114"/>
      <c r="I32" s="39"/>
      <c r="J32" s="114" t="s">
        <v>58</v>
      </c>
      <c r="K32" s="114"/>
      <c r="L32" s="39"/>
      <c r="M32" s="114" t="s">
        <v>17</v>
      </c>
      <c r="N32" s="114"/>
      <c r="O32" s="57" t="s">
        <v>46</v>
      </c>
      <c r="Q32" s="35">
        <f>AVERAGE(Q12:Q14)/AVERAGE(Q8:Q10)</f>
        <v>1.2027644038632861</v>
      </c>
      <c r="R32" s="35">
        <f>AVERAGE(R12:R14)/AVERAGE(R8:R10)</f>
        <v>1.2027644038632865</v>
      </c>
    </row>
    <row r="33" spans="1:19" x14ac:dyDescent="0.3">
      <c r="B33" s="34"/>
      <c r="C33" s="34"/>
      <c r="D33" s="37"/>
      <c r="E33" s="43" t="s">
        <v>120</v>
      </c>
      <c r="F33" s="39" t="s">
        <v>127</v>
      </c>
      <c r="G33" s="40" t="s">
        <v>123</v>
      </c>
      <c r="H33" s="40" t="s">
        <v>7</v>
      </c>
      <c r="I33" s="39" t="s">
        <v>67</v>
      </c>
      <c r="J33" s="40" t="s">
        <v>123</v>
      </c>
      <c r="K33" s="40" t="s">
        <v>7</v>
      </c>
      <c r="L33" s="39" t="s">
        <v>67</v>
      </c>
      <c r="M33" s="40" t="s">
        <v>123</v>
      </c>
      <c r="N33" s="40" t="s">
        <v>7</v>
      </c>
      <c r="O33" s="53">
        <f>SUM(O34:O42)</f>
        <v>0</v>
      </c>
      <c r="Q33" s="39" t="s">
        <v>127</v>
      </c>
      <c r="R33" s="39" t="s">
        <v>127</v>
      </c>
    </row>
    <row r="34" spans="1:19" x14ac:dyDescent="0.3">
      <c r="B34" s="42" t="s">
        <v>42</v>
      </c>
      <c r="C34" s="94" t="s">
        <v>121</v>
      </c>
      <c r="D34" s="94"/>
      <c r="E34" s="94" t="s">
        <v>135</v>
      </c>
      <c r="F34" s="39">
        <f>114.026686221976*Index_tov_2018</f>
        <v>161.91789443520591</v>
      </c>
      <c r="G34" s="43"/>
      <c r="H34" s="44">
        <f>ROUNDUP(+G34*F$6*IF($E$33="asfalt",$F34*$F$32,$F34),-1)</f>
        <v>0</v>
      </c>
      <c r="I34" s="46"/>
      <c r="J34" s="46"/>
      <c r="K34" s="86"/>
      <c r="L34" s="46"/>
      <c r="M34" s="46"/>
      <c r="N34" s="86"/>
      <c r="O34" s="48">
        <f t="shared" ref="O34:O40" si="4">+N34+K34+H34</f>
        <v>0</v>
      </c>
      <c r="Q34" s="39">
        <v>114.02668622197587</v>
      </c>
      <c r="R34" s="45">
        <f>Q34*1.42</f>
        <v>161.91789443520571</v>
      </c>
      <c r="S34" s="1">
        <f t="shared" ref="S34:S36" si="5">F34-R34</f>
        <v>0</v>
      </c>
    </row>
    <row r="35" spans="1:19" x14ac:dyDescent="0.3">
      <c r="B35" s="42" t="s">
        <v>43</v>
      </c>
      <c r="C35" s="94" t="s">
        <v>138</v>
      </c>
      <c r="D35" s="94"/>
      <c r="E35" s="94" t="s">
        <v>136</v>
      </c>
      <c r="F35" s="39">
        <f>110.095225472882*Index_tov_2018</f>
        <v>156.33522017149244</v>
      </c>
      <c r="G35" s="43"/>
      <c r="H35" s="44">
        <f t="shared" ref="H35:H40" si="6">ROUNDUP(+G35*F$6*IF($E$33="asfalt",$F35*$F$32,$F35),-1)</f>
        <v>0</v>
      </c>
      <c r="I35" s="46"/>
      <c r="J35" s="46"/>
      <c r="K35" s="86"/>
      <c r="L35" s="46"/>
      <c r="M35" s="46"/>
      <c r="N35" s="86"/>
      <c r="O35" s="48">
        <f t="shared" si="4"/>
        <v>0</v>
      </c>
      <c r="Q35" s="39">
        <v>110.09522547288165</v>
      </c>
      <c r="R35" s="45">
        <f>Q35*1.42</f>
        <v>156.33522017149193</v>
      </c>
      <c r="S35" s="1">
        <f t="shared" si="5"/>
        <v>5.1159076974727213E-13</v>
      </c>
    </row>
    <row r="36" spans="1:19" x14ac:dyDescent="0.3">
      <c r="B36" s="42" t="s">
        <v>44</v>
      </c>
      <c r="C36" s="94"/>
      <c r="D36" s="94"/>
      <c r="E36" s="94" t="s">
        <v>137</v>
      </c>
      <c r="F36" s="39">
        <f>108.505827835951*Index_tov_2018</f>
        <v>154.07827552705041</v>
      </c>
      <c r="G36" s="43"/>
      <c r="H36" s="44">
        <f t="shared" si="6"/>
        <v>0</v>
      </c>
      <c r="I36" s="46"/>
      <c r="J36" s="46"/>
      <c r="K36" s="86"/>
      <c r="L36" s="46"/>
      <c r="M36" s="46"/>
      <c r="N36" s="86"/>
      <c r="O36" s="48">
        <f t="shared" ref="O36" si="7">+N36+K36+H36</f>
        <v>0</v>
      </c>
      <c r="Q36" s="39">
        <v>108.50582783595112</v>
      </c>
      <c r="R36" s="45">
        <f>Q36*1.42</f>
        <v>154.07827552705058</v>
      </c>
      <c r="S36" s="1">
        <f t="shared" si="5"/>
        <v>0</v>
      </c>
    </row>
    <row r="37" spans="1:19" ht="6.65" customHeight="1" x14ac:dyDescent="0.3">
      <c r="B37" s="48"/>
      <c r="C37" s="48"/>
      <c r="D37" s="48"/>
      <c r="E37" s="48"/>
      <c r="F37" s="48"/>
      <c r="G37" s="49"/>
      <c r="H37" s="48"/>
      <c r="I37" s="48"/>
      <c r="J37" s="49"/>
      <c r="K37" s="48"/>
      <c r="L37" s="48"/>
      <c r="M37" s="49"/>
      <c r="N37" s="48"/>
      <c r="O37" s="48"/>
      <c r="Q37" s="48"/>
      <c r="R37" s="48"/>
    </row>
    <row r="38" spans="1:19" x14ac:dyDescent="0.3">
      <c r="B38" s="42" t="s">
        <v>189</v>
      </c>
      <c r="C38" s="94" t="s">
        <v>122</v>
      </c>
      <c r="D38" s="94"/>
      <c r="E38" s="94" t="s">
        <v>135</v>
      </c>
      <c r="F38" s="39">
        <f>97.5325131208397*Index_tov_2018</f>
        <v>138.49616863159235</v>
      </c>
      <c r="G38" s="43"/>
      <c r="H38" s="44">
        <f t="shared" si="6"/>
        <v>0</v>
      </c>
      <c r="I38" s="46"/>
      <c r="J38" s="46"/>
      <c r="K38" s="86"/>
      <c r="L38" s="46"/>
      <c r="M38" s="46"/>
      <c r="N38" s="86"/>
      <c r="O38" s="48">
        <f t="shared" si="4"/>
        <v>0</v>
      </c>
      <c r="Q38" s="39">
        <v>97.532513120839738</v>
      </c>
      <c r="R38" s="45">
        <f>Q38*1.42</f>
        <v>138.49616863159241</v>
      </c>
      <c r="S38" s="1">
        <f t="shared" ref="S38:S40" si="8">F38-R38</f>
        <v>0</v>
      </c>
    </row>
    <row r="39" spans="1:19" x14ac:dyDescent="0.3">
      <c r="B39" s="42" t="s">
        <v>190</v>
      </c>
      <c r="C39" s="42" t="s">
        <v>139</v>
      </c>
      <c r="D39" s="94"/>
      <c r="E39" s="94" t="s">
        <v>136</v>
      </c>
      <c r="F39" s="39">
        <f>93.3312165690866*Index_tov_2018</f>
        <v>132.53032752810299</v>
      </c>
      <c r="G39" s="43"/>
      <c r="H39" s="44">
        <f t="shared" si="6"/>
        <v>0</v>
      </c>
      <c r="I39" s="46"/>
      <c r="J39" s="46"/>
      <c r="K39" s="86"/>
      <c r="L39" s="46"/>
      <c r="M39" s="46"/>
      <c r="N39" s="86"/>
      <c r="O39" s="48">
        <f t="shared" ref="O39" si="9">+N39+K39+H39</f>
        <v>0</v>
      </c>
      <c r="Q39" s="39">
        <v>93.331216569086621</v>
      </c>
      <c r="R39" s="45">
        <f>Q39*1.42</f>
        <v>132.53032752810299</v>
      </c>
      <c r="S39" s="1">
        <f t="shared" si="8"/>
        <v>0</v>
      </c>
    </row>
    <row r="40" spans="1:19" x14ac:dyDescent="0.3">
      <c r="B40" s="42" t="s">
        <v>191</v>
      </c>
      <c r="C40" s="42"/>
      <c r="D40" s="94"/>
      <c r="E40" s="94" t="s">
        <v>137</v>
      </c>
      <c r="F40" s="39">
        <f>86.6385772469253*Index_tov_2018</f>
        <v>123.02677969063392</v>
      </c>
      <c r="G40" s="43"/>
      <c r="H40" s="44">
        <f t="shared" si="6"/>
        <v>0</v>
      </c>
      <c r="I40" s="46"/>
      <c r="J40" s="46"/>
      <c r="K40" s="86"/>
      <c r="L40" s="46"/>
      <c r="M40" s="46"/>
      <c r="N40" s="86"/>
      <c r="O40" s="48">
        <f t="shared" si="4"/>
        <v>0</v>
      </c>
      <c r="Q40" s="39">
        <v>86.638577246925266</v>
      </c>
      <c r="R40" s="45">
        <f>Q40*1.42</f>
        <v>123.02677969063387</v>
      </c>
      <c r="S40" s="1">
        <f t="shared" si="8"/>
        <v>0</v>
      </c>
    </row>
    <row r="41" spans="1:19" hidden="1" x14ac:dyDescent="0.3">
      <c r="B41" s="42"/>
      <c r="C41" s="42"/>
      <c r="D41" s="52"/>
      <c r="E41" s="42"/>
      <c r="F41" s="39"/>
      <c r="G41" s="43"/>
      <c r="H41" s="48"/>
      <c r="I41" s="39">
        <v>7.81</v>
      </c>
      <c r="J41" s="43"/>
      <c r="K41" s="48"/>
      <c r="L41" s="39"/>
      <c r="M41" s="43"/>
      <c r="N41" s="48"/>
      <c r="O41" s="48"/>
      <c r="Q41" s="39"/>
      <c r="R41" s="39"/>
    </row>
    <row r="42" spans="1:19" ht="6.65" customHeight="1" x14ac:dyDescent="0.3">
      <c r="B42" s="49"/>
      <c r="C42" s="49"/>
      <c r="D42" s="49"/>
      <c r="E42" s="49"/>
      <c r="F42" s="49"/>
      <c r="G42" s="49"/>
      <c r="H42" s="48"/>
      <c r="I42" s="48"/>
      <c r="J42" s="49"/>
      <c r="K42" s="48"/>
      <c r="L42" s="48"/>
      <c r="M42" s="49"/>
      <c r="N42" s="48"/>
      <c r="O42" s="48"/>
      <c r="Q42" s="49"/>
      <c r="R42" s="49"/>
    </row>
    <row r="43" spans="1:19" x14ac:dyDescent="0.3">
      <c r="A43" s="2" t="s">
        <v>26</v>
      </c>
      <c r="B43" s="33" t="s">
        <v>199</v>
      </c>
      <c r="C43" s="34"/>
      <c r="D43" s="34"/>
      <c r="E43" s="34"/>
      <c r="F43" s="39"/>
      <c r="G43" s="114" t="s">
        <v>16</v>
      </c>
      <c r="H43" s="114"/>
      <c r="I43" s="39"/>
      <c r="J43" s="114" t="s">
        <v>58</v>
      </c>
      <c r="K43" s="114"/>
      <c r="L43" s="39"/>
      <c r="M43" s="114" t="s">
        <v>17</v>
      </c>
      <c r="N43" s="114"/>
      <c r="O43" s="57" t="s">
        <v>46</v>
      </c>
      <c r="Q43" s="39"/>
      <c r="R43" s="39"/>
    </row>
    <row r="44" spans="1:19" x14ac:dyDescent="0.3">
      <c r="B44" s="34"/>
      <c r="C44" s="34"/>
      <c r="D44" s="37" t="s">
        <v>134</v>
      </c>
      <c r="E44" s="43" t="s">
        <v>120</v>
      </c>
      <c r="F44" s="39" t="s">
        <v>127</v>
      </c>
      <c r="G44" s="40" t="s">
        <v>48</v>
      </c>
      <c r="H44" s="40" t="s">
        <v>7</v>
      </c>
      <c r="I44" s="39" t="s">
        <v>6</v>
      </c>
      <c r="J44" s="40" t="s">
        <v>8</v>
      </c>
      <c r="K44" s="40" t="s">
        <v>7</v>
      </c>
      <c r="L44" s="39" t="s">
        <v>6</v>
      </c>
      <c r="M44" s="40" t="s">
        <v>8</v>
      </c>
      <c r="N44" s="40" t="s">
        <v>7</v>
      </c>
      <c r="O44" s="53">
        <f>SUM(O45:O61)</f>
        <v>0</v>
      </c>
      <c r="Q44" s="39" t="s">
        <v>127</v>
      </c>
      <c r="R44" s="39" t="s">
        <v>127</v>
      </c>
    </row>
    <row r="45" spans="1:19" ht="12.5" x14ac:dyDescent="0.25">
      <c r="A45"/>
      <c r="B45" s="42" t="s">
        <v>106</v>
      </c>
      <c r="C45" s="42"/>
      <c r="D45" s="51">
        <v>5</v>
      </c>
      <c r="E45" s="94" t="s">
        <v>140</v>
      </c>
      <c r="F45" s="39">
        <f>85.4993181818182*Index_tov_2018</f>
        <v>121.40903181818183</v>
      </c>
      <c r="G45" s="43"/>
      <c r="H45" s="44">
        <f>ROUNDUP(+G45*$D45*F$6*IF($E$44="asfalt",$F45*$F$32,$F45),-1)</f>
        <v>0</v>
      </c>
      <c r="I45" s="46"/>
      <c r="J45" s="46"/>
      <c r="K45" s="86"/>
      <c r="L45" s="46"/>
      <c r="M45" s="46"/>
      <c r="N45" s="86"/>
      <c r="O45" s="48">
        <f t="shared" ref="O45:O60" si="10">+N45+K45+H45</f>
        <v>0</v>
      </c>
      <c r="Q45" s="39">
        <v>85.499318181818182</v>
      </c>
      <c r="R45" s="45">
        <f>Q45*1.42</f>
        <v>121.40903181818182</v>
      </c>
      <c r="S45" s="1">
        <f t="shared" ref="S45:S47" si="11">F45-R45</f>
        <v>0</v>
      </c>
    </row>
    <row r="46" spans="1:19" ht="12.5" x14ac:dyDescent="0.25">
      <c r="A46"/>
      <c r="B46" s="42" t="s">
        <v>107</v>
      </c>
      <c r="C46" s="42"/>
      <c r="D46" s="38">
        <v>5</v>
      </c>
      <c r="E46" s="42" t="s">
        <v>142</v>
      </c>
      <c r="F46" s="39">
        <f>658.333333333333*Index_tov_2018</f>
        <v>934.8333333333328</v>
      </c>
      <c r="G46" s="43"/>
      <c r="H46" s="44">
        <f t="shared" ref="H46:H47" si="12">ROUNDUP(+G46*$D46*F$6*IF($E$44="asfalt",$F46*$F$32,$F46),-1)</f>
        <v>0</v>
      </c>
      <c r="I46" s="46"/>
      <c r="J46" s="46"/>
      <c r="K46" s="86"/>
      <c r="L46" s="46"/>
      <c r="M46" s="46"/>
      <c r="N46" s="86"/>
      <c r="O46" s="48">
        <f t="shared" si="10"/>
        <v>0</v>
      </c>
      <c r="Q46" s="39">
        <v>658.33333333333337</v>
      </c>
      <c r="R46" s="45">
        <f>Q46*1.42</f>
        <v>934.83333333333337</v>
      </c>
      <c r="S46" s="1">
        <f t="shared" si="11"/>
        <v>0</v>
      </c>
    </row>
    <row r="47" spans="1:19" ht="12.5" x14ac:dyDescent="0.25">
      <c r="A47"/>
      <c r="B47" s="42" t="s">
        <v>197</v>
      </c>
      <c r="C47" s="42"/>
      <c r="D47" s="38">
        <v>5</v>
      </c>
      <c r="E47" s="42" t="s">
        <v>141</v>
      </c>
      <c r="F47" s="39">
        <f>460*Index_tov_2018</f>
        <v>653.19999999999993</v>
      </c>
      <c r="G47" s="43"/>
      <c r="H47" s="44">
        <f t="shared" si="12"/>
        <v>0</v>
      </c>
      <c r="I47" s="46"/>
      <c r="J47" s="46"/>
      <c r="K47" s="86"/>
      <c r="L47" s="46"/>
      <c r="M47" s="46"/>
      <c r="N47" s="86"/>
      <c r="O47" s="48">
        <f t="shared" si="10"/>
        <v>0</v>
      </c>
      <c r="Q47" s="39">
        <v>460</v>
      </c>
      <c r="R47" s="45">
        <f>Q47*1.42</f>
        <v>653.19999999999993</v>
      </c>
      <c r="S47" s="1">
        <f t="shared" si="11"/>
        <v>0</v>
      </c>
    </row>
    <row r="48" spans="1:19" ht="12.5" x14ac:dyDescent="0.25">
      <c r="A48"/>
      <c r="B48" s="42"/>
      <c r="C48" s="42"/>
      <c r="D48" s="38"/>
      <c r="E48" s="42"/>
      <c r="F48" s="39"/>
      <c r="G48" s="43"/>
      <c r="H48" s="48"/>
      <c r="I48" s="46"/>
      <c r="J48" s="46"/>
      <c r="K48" s="86"/>
      <c r="L48" s="46"/>
      <c r="M48" s="46"/>
      <c r="N48" s="86"/>
      <c r="O48" s="48"/>
      <c r="Q48" s="39"/>
      <c r="R48" s="39"/>
    </row>
    <row r="49" spans="1:19" hidden="1" x14ac:dyDescent="0.3">
      <c r="A49"/>
      <c r="B49" s="42"/>
      <c r="C49" s="42"/>
      <c r="E49" s="42"/>
      <c r="F49" s="39" t="s">
        <v>6</v>
      </c>
      <c r="G49" s="40" t="s">
        <v>48</v>
      </c>
      <c r="H49" s="40" t="s">
        <v>7</v>
      </c>
      <c r="I49" s="54" t="s">
        <v>6</v>
      </c>
      <c r="J49" s="40" t="s">
        <v>48</v>
      </c>
      <c r="K49" s="40" t="s">
        <v>7</v>
      </c>
      <c r="L49" s="54" t="s">
        <v>6</v>
      </c>
      <c r="M49" s="40" t="s">
        <v>48</v>
      </c>
      <c r="N49" s="40" t="s">
        <v>7</v>
      </c>
      <c r="O49" s="57"/>
      <c r="Q49" s="39" t="s">
        <v>6</v>
      </c>
      <c r="R49" s="39" t="s">
        <v>6</v>
      </c>
    </row>
    <row r="50" spans="1:19" ht="12.5" hidden="1" x14ac:dyDescent="0.25">
      <c r="A50"/>
      <c r="B50" s="42" t="s">
        <v>107</v>
      </c>
      <c r="C50" s="42" t="s">
        <v>53</v>
      </c>
      <c r="E50" s="42" t="s">
        <v>22</v>
      </c>
      <c r="F50" s="39">
        <v>1130</v>
      </c>
      <c r="G50" s="43"/>
      <c r="H50" s="48">
        <f t="shared" ref="H50" si="13">+G50*F50</f>
        <v>0</v>
      </c>
      <c r="I50" s="39">
        <v>365</v>
      </c>
      <c r="J50" s="43"/>
      <c r="K50" s="48">
        <f t="shared" ref="K50" si="14">+J50*I50</f>
        <v>0</v>
      </c>
      <c r="L50" s="39">
        <v>150</v>
      </c>
      <c r="M50" s="43"/>
      <c r="N50" s="48">
        <f t="shared" ref="N50" si="15">+M50*L50</f>
        <v>0</v>
      </c>
      <c r="O50" s="48">
        <f t="shared" ref="O50:O54" si="16">+N50+K50+H50</f>
        <v>0</v>
      </c>
      <c r="Q50" s="39">
        <v>1130</v>
      </c>
      <c r="R50" s="39">
        <v>1130</v>
      </c>
    </row>
    <row r="51" spans="1:19" ht="12.5" hidden="1" x14ac:dyDescent="0.25">
      <c r="A51"/>
      <c r="B51" s="42"/>
      <c r="C51" s="42"/>
      <c r="E51" s="42"/>
      <c r="F51" s="39"/>
      <c r="G51" s="43"/>
      <c r="H51" s="48"/>
      <c r="I51" s="39"/>
      <c r="J51" s="43"/>
      <c r="K51" s="48"/>
      <c r="L51" s="39"/>
      <c r="M51" s="43"/>
      <c r="N51" s="48"/>
      <c r="O51" s="48"/>
      <c r="Q51" s="39"/>
      <c r="R51" s="39"/>
    </row>
    <row r="52" spans="1:19" ht="12.5" hidden="1" x14ac:dyDescent="0.25">
      <c r="A52"/>
      <c r="B52" s="42" t="s">
        <v>40</v>
      </c>
      <c r="C52" s="42" t="s">
        <v>100</v>
      </c>
      <c r="E52" s="42" t="s">
        <v>102</v>
      </c>
      <c r="F52" s="39">
        <v>30000</v>
      </c>
      <c r="G52" s="43"/>
      <c r="H52" s="48">
        <f t="shared" ref="H52:H60" si="17">+G52*F52</f>
        <v>0</v>
      </c>
      <c r="I52" s="39">
        <v>10000</v>
      </c>
      <c r="J52" s="43"/>
      <c r="K52" s="48">
        <f t="shared" ref="K52" si="18">+J52*I52</f>
        <v>0</v>
      </c>
      <c r="L52" s="39">
        <v>5000</v>
      </c>
      <c r="M52" s="43"/>
      <c r="N52" s="48">
        <f t="shared" ref="N52" si="19">+M52*L52</f>
        <v>0</v>
      </c>
      <c r="O52" s="48">
        <f t="shared" ref="O52:O53" si="20">+N52+K52+H52</f>
        <v>0</v>
      </c>
      <c r="Q52" s="39">
        <v>30000</v>
      </c>
      <c r="R52" s="39">
        <v>30000</v>
      </c>
    </row>
    <row r="53" spans="1:19" ht="12.5" hidden="1" x14ac:dyDescent="0.25">
      <c r="A53"/>
      <c r="B53" s="42" t="s">
        <v>41</v>
      </c>
      <c r="C53" s="42" t="s">
        <v>103</v>
      </c>
      <c r="E53" s="42" t="s">
        <v>101</v>
      </c>
      <c r="F53" s="39">
        <v>5000</v>
      </c>
      <c r="G53" s="43"/>
      <c r="H53" s="48">
        <f t="shared" si="17"/>
        <v>0</v>
      </c>
      <c r="I53" s="46"/>
      <c r="J53" s="46"/>
      <c r="K53" s="86"/>
      <c r="L53" s="46"/>
      <c r="M53" s="46"/>
      <c r="N53" s="86"/>
      <c r="O53" s="48">
        <f t="shared" si="20"/>
        <v>0</v>
      </c>
      <c r="Q53" s="39">
        <v>5000</v>
      </c>
      <c r="R53" s="39">
        <v>5000</v>
      </c>
    </row>
    <row r="54" spans="1:19" ht="12.5" hidden="1" x14ac:dyDescent="0.25">
      <c r="A54"/>
      <c r="B54" s="42" t="s">
        <v>108</v>
      </c>
      <c r="C54" s="42" t="s">
        <v>117</v>
      </c>
      <c r="E54" s="42" t="s">
        <v>83</v>
      </c>
      <c r="F54" s="39">
        <v>6811</v>
      </c>
      <c r="G54" s="43"/>
      <c r="H54" s="48">
        <f t="shared" si="17"/>
        <v>0</v>
      </c>
      <c r="I54" s="39">
        <f>+F54/2</f>
        <v>3405.5</v>
      </c>
      <c r="J54" s="43"/>
      <c r="K54" s="48">
        <f t="shared" ref="K54:K60" si="21">+J54*I54</f>
        <v>0</v>
      </c>
      <c r="L54" s="39">
        <v>1000</v>
      </c>
      <c r="M54" s="43"/>
      <c r="N54" s="48">
        <f t="shared" ref="N54" si="22">+M54*L54</f>
        <v>0</v>
      </c>
      <c r="O54" s="48">
        <f t="shared" si="16"/>
        <v>0</v>
      </c>
      <c r="Q54" s="39">
        <v>6811</v>
      </c>
      <c r="R54" s="39">
        <v>6811</v>
      </c>
    </row>
    <row r="55" spans="1:19" ht="12.5" hidden="1" x14ac:dyDescent="0.25">
      <c r="A55"/>
      <c r="B55" s="42" t="s">
        <v>109</v>
      </c>
      <c r="C55" s="56" t="s">
        <v>80</v>
      </c>
      <c r="E55" s="42" t="s">
        <v>82</v>
      </c>
      <c r="F55" s="39">
        <v>9610</v>
      </c>
      <c r="G55" s="43"/>
      <c r="H55" s="48">
        <f t="shared" si="17"/>
        <v>0</v>
      </c>
      <c r="I55" s="39">
        <f t="shared" ref="I55:I57" si="23">+F55/2</f>
        <v>4805</v>
      </c>
      <c r="J55" s="43"/>
      <c r="K55" s="48">
        <f t="shared" si="21"/>
        <v>0</v>
      </c>
      <c r="L55" s="39">
        <v>1500</v>
      </c>
      <c r="M55" s="43"/>
      <c r="N55" s="48">
        <f>+M55*L55</f>
        <v>0</v>
      </c>
      <c r="O55" s="48">
        <f>+N55+K55+H55</f>
        <v>0</v>
      </c>
      <c r="Q55" s="39">
        <v>9610</v>
      </c>
      <c r="R55" s="39">
        <v>9610</v>
      </c>
    </row>
    <row r="56" spans="1:19" ht="12.5" hidden="1" x14ac:dyDescent="0.25">
      <c r="A56"/>
      <c r="B56" s="42" t="s">
        <v>110</v>
      </c>
      <c r="C56" s="56" t="s">
        <v>76</v>
      </c>
      <c r="E56" s="42" t="s">
        <v>84</v>
      </c>
      <c r="F56" s="39">
        <v>10216</v>
      </c>
      <c r="G56" s="43"/>
      <c r="H56" s="48">
        <f t="shared" si="17"/>
        <v>0</v>
      </c>
      <c r="I56" s="39">
        <f t="shared" si="23"/>
        <v>5108</v>
      </c>
      <c r="J56" s="43"/>
      <c r="K56" s="48">
        <f t="shared" si="21"/>
        <v>0</v>
      </c>
      <c r="L56" s="39">
        <v>1500</v>
      </c>
      <c r="M56" s="43"/>
      <c r="N56" s="48">
        <f>+M56*L56</f>
        <v>0</v>
      </c>
      <c r="O56" s="48">
        <f>+N56+K56+H56</f>
        <v>0</v>
      </c>
      <c r="Q56" s="39">
        <v>10216</v>
      </c>
      <c r="R56" s="39">
        <v>10216</v>
      </c>
    </row>
    <row r="57" spans="1:19" ht="12.5" hidden="1" x14ac:dyDescent="0.25">
      <c r="A57"/>
      <c r="B57" s="42" t="s">
        <v>111</v>
      </c>
      <c r="C57" s="56" t="s">
        <v>81</v>
      </c>
      <c r="E57" s="42" t="s">
        <v>85</v>
      </c>
      <c r="F57" s="39">
        <v>14415</v>
      </c>
      <c r="G57" s="43"/>
      <c r="H57" s="48">
        <f t="shared" si="17"/>
        <v>0</v>
      </c>
      <c r="I57" s="39">
        <f t="shared" si="23"/>
        <v>7207.5</v>
      </c>
      <c r="J57" s="43"/>
      <c r="K57" s="48">
        <f t="shared" si="21"/>
        <v>0</v>
      </c>
      <c r="L57" s="39">
        <v>2000</v>
      </c>
      <c r="M57" s="43"/>
      <c r="N57" s="48">
        <f>+M57*L57</f>
        <v>0</v>
      </c>
      <c r="O57" s="48">
        <f>+N57+K57+H57</f>
        <v>0</v>
      </c>
      <c r="Q57" s="39">
        <v>14415</v>
      </c>
      <c r="R57" s="39">
        <v>14415</v>
      </c>
    </row>
    <row r="58" spans="1:19" ht="12.5" hidden="1" x14ac:dyDescent="0.25">
      <c r="A58"/>
      <c r="B58" s="42" t="s">
        <v>112</v>
      </c>
      <c r="C58" s="42" t="s">
        <v>118</v>
      </c>
      <c r="E58" s="42" t="s">
        <v>77</v>
      </c>
      <c r="F58" s="39">
        <v>7351</v>
      </c>
      <c r="G58" s="43"/>
      <c r="H58" s="48">
        <f t="shared" si="17"/>
        <v>0</v>
      </c>
      <c r="I58" s="39">
        <f>+F58*0.8</f>
        <v>5880.8</v>
      </c>
      <c r="J58" s="43"/>
      <c r="K58" s="48">
        <f t="shared" si="21"/>
        <v>0</v>
      </c>
      <c r="L58" s="39">
        <v>1500</v>
      </c>
      <c r="M58" s="43"/>
      <c r="N58" s="48">
        <f t="shared" ref="N58:N60" si="24">+M58*L58</f>
        <v>0</v>
      </c>
      <c r="O58" s="48">
        <f t="shared" si="10"/>
        <v>0</v>
      </c>
      <c r="Q58" s="39">
        <v>7351</v>
      </c>
      <c r="R58" s="39">
        <v>7351</v>
      </c>
    </row>
    <row r="59" spans="1:19" ht="12.5" hidden="1" x14ac:dyDescent="0.25">
      <c r="A59"/>
      <c r="B59" s="42" t="s">
        <v>113</v>
      </c>
      <c r="C59" s="56" t="s">
        <v>119</v>
      </c>
      <c r="E59" s="42" t="s">
        <v>115</v>
      </c>
      <c r="F59" s="39">
        <v>18072</v>
      </c>
      <c r="G59" s="43"/>
      <c r="H59" s="48">
        <f t="shared" si="17"/>
        <v>0</v>
      </c>
      <c r="I59" s="39">
        <f t="shared" ref="I59:I60" si="25">+F59*0.8</f>
        <v>14457.6</v>
      </c>
      <c r="J59" s="43"/>
      <c r="K59" s="48">
        <f t="shared" si="21"/>
        <v>0</v>
      </c>
      <c r="L59" s="39">
        <v>2000</v>
      </c>
      <c r="M59" s="43"/>
      <c r="N59" s="48">
        <f t="shared" si="24"/>
        <v>0</v>
      </c>
      <c r="O59" s="48">
        <f t="shared" si="10"/>
        <v>0</v>
      </c>
      <c r="Q59" s="39">
        <v>18072</v>
      </c>
      <c r="R59" s="39">
        <v>18072</v>
      </c>
    </row>
    <row r="60" spans="1:19" ht="12.5" hidden="1" x14ac:dyDescent="0.25">
      <c r="A60"/>
      <c r="B60" s="42" t="s">
        <v>114</v>
      </c>
      <c r="C60" s="42"/>
      <c r="E60" s="42" t="s">
        <v>116</v>
      </c>
      <c r="F60" s="39">
        <v>22672</v>
      </c>
      <c r="G60" s="43"/>
      <c r="H60" s="48">
        <f t="shared" si="17"/>
        <v>0</v>
      </c>
      <c r="I60" s="39">
        <f t="shared" si="25"/>
        <v>18137.600000000002</v>
      </c>
      <c r="J60" s="43"/>
      <c r="K60" s="48">
        <f t="shared" si="21"/>
        <v>0</v>
      </c>
      <c r="L60" s="39">
        <v>2000</v>
      </c>
      <c r="M60" s="43"/>
      <c r="N60" s="48">
        <f t="shared" si="24"/>
        <v>0</v>
      </c>
      <c r="O60" s="48">
        <f t="shared" si="10"/>
        <v>0</v>
      </c>
      <c r="Q60" s="39">
        <v>22672</v>
      </c>
      <c r="R60" s="39">
        <v>22672</v>
      </c>
    </row>
    <row r="61" spans="1:19" ht="6.65" customHeight="1" x14ac:dyDescent="0.3">
      <c r="B61" s="49"/>
      <c r="C61" s="49"/>
      <c r="D61" s="49"/>
      <c r="E61" s="49"/>
      <c r="F61" s="49"/>
      <c r="G61" s="49"/>
      <c r="H61" s="48"/>
      <c r="I61" s="48"/>
      <c r="J61" s="49"/>
      <c r="K61" s="48"/>
      <c r="L61" s="48"/>
      <c r="M61" s="49"/>
      <c r="N61" s="48"/>
      <c r="O61" s="48"/>
      <c r="Q61" s="49"/>
      <c r="R61" s="49"/>
    </row>
    <row r="62" spans="1:19" x14ac:dyDescent="0.3">
      <c r="A62" s="2" t="s">
        <v>27</v>
      </c>
      <c r="B62" s="33" t="s">
        <v>200</v>
      </c>
      <c r="C62" s="34"/>
      <c r="D62" s="34"/>
      <c r="E62" s="34"/>
      <c r="F62" s="39"/>
      <c r="G62" s="114" t="s">
        <v>16</v>
      </c>
      <c r="H62" s="114"/>
      <c r="I62" s="39"/>
      <c r="J62" s="114" t="s">
        <v>21</v>
      </c>
      <c r="K62" s="114"/>
      <c r="L62" s="39"/>
      <c r="M62" s="114" t="s">
        <v>17</v>
      </c>
      <c r="N62" s="114"/>
      <c r="O62" s="57" t="s">
        <v>46</v>
      </c>
      <c r="Q62" s="39"/>
      <c r="R62" s="39"/>
    </row>
    <row r="63" spans="1:19" x14ac:dyDescent="0.3">
      <c r="B63" s="34"/>
      <c r="C63" s="34"/>
      <c r="D63" s="37"/>
      <c r="E63" s="34"/>
      <c r="F63" s="39" t="s">
        <v>6</v>
      </c>
      <c r="G63" s="40" t="s">
        <v>8</v>
      </c>
      <c r="H63" s="40" t="s">
        <v>7</v>
      </c>
      <c r="I63" s="39" t="s">
        <v>6</v>
      </c>
      <c r="J63" s="40" t="s">
        <v>8</v>
      </c>
      <c r="K63" s="40" t="s">
        <v>7</v>
      </c>
      <c r="L63" s="39" t="s">
        <v>6</v>
      </c>
      <c r="M63" s="40" t="s">
        <v>8</v>
      </c>
      <c r="N63" s="40" t="s">
        <v>7</v>
      </c>
      <c r="O63" s="53">
        <f>SUM(O64:O79)</f>
        <v>0</v>
      </c>
      <c r="Q63" s="39" t="s">
        <v>6</v>
      </c>
      <c r="R63" s="39" t="s">
        <v>240</v>
      </c>
    </row>
    <row r="64" spans="1:19" ht="12.5" x14ac:dyDescent="0.25">
      <c r="A64"/>
      <c r="B64" s="42" t="s">
        <v>38</v>
      </c>
      <c r="C64" s="42" t="s">
        <v>93</v>
      </c>
      <c r="D64" s="55"/>
      <c r="E64" s="42" t="s">
        <v>75</v>
      </c>
      <c r="F64" s="39">
        <f>+fietspaden!F50</f>
        <v>22.364999999999998</v>
      </c>
      <c r="G64" s="43"/>
      <c r="H64" s="44">
        <f t="shared" ref="H64:H78" si="26">ROUNDUP(+G64*F64*F$6,-1)</f>
        <v>0</v>
      </c>
      <c r="I64" s="39">
        <f>+fietspaden!I50</f>
        <v>17.04</v>
      </c>
      <c r="J64" s="43"/>
      <c r="K64" s="44">
        <f t="shared" ref="K64:K65" si="27">ROUNDUP(+J64*I64*I$6,-1)</f>
        <v>0</v>
      </c>
      <c r="L64" s="39">
        <f>+fietspaden!L50</f>
        <v>14.2</v>
      </c>
      <c r="M64" s="43"/>
      <c r="N64" s="44">
        <f t="shared" ref="N64:N65" si="28">ROUNDUP(+M64*L64*L$6,-1)</f>
        <v>0</v>
      </c>
      <c r="O64" s="48">
        <f t="shared" ref="O64:O78" si="29">+N64+K64+H64</f>
        <v>0</v>
      </c>
      <c r="Q64" s="39">
        <v>15.75</v>
      </c>
      <c r="R64" s="45">
        <f>Q64*1.42</f>
        <v>22.364999999999998</v>
      </c>
      <c r="S64" s="1">
        <f t="shared" ref="S64:S65" si="30">F64-R64</f>
        <v>0</v>
      </c>
    </row>
    <row r="65" spans="1:19" ht="12.5" x14ac:dyDescent="0.25">
      <c r="A65"/>
      <c r="B65" s="42" t="s">
        <v>39</v>
      </c>
      <c r="C65" s="42" t="s">
        <v>104</v>
      </c>
      <c r="D65" s="55"/>
      <c r="E65" s="42" t="s">
        <v>105</v>
      </c>
      <c r="F65" s="39">
        <f>+fietspaden!F51</f>
        <v>26.837999999999997</v>
      </c>
      <c r="G65" s="43"/>
      <c r="H65" s="44">
        <f t="shared" si="26"/>
        <v>0</v>
      </c>
      <c r="I65" s="39">
        <f>+fietspaden!I51</f>
        <v>17.04</v>
      </c>
      <c r="J65" s="43"/>
      <c r="K65" s="44">
        <f t="shared" si="27"/>
        <v>0</v>
      </c>
      <c r="L65" s="39">
        <f>+fietspaden!L51</f>
        <v>14.2</v>
      </c>
      <c r="M65" s="43"/>
      <c r="N65" s="44">
        <f t="shared" si="28"/>
        <v>0</v>
      </c>
      <c r="O65" s="48">
        <f t="shared" si="29"/>
        <v>0</v>
      </c>
      <c r="Q65" s="39">
        <v>18.899999999999999</v>
      </c>
      <c r="R65" s="45">
        <f>Q65*1.42</f>
        <v>26.837999999999997</v>
      </c>
      <c r="S65" s="1">
        <f t="shared" si="30"/>
        <v>0</v>
      </c>
    </row>
    <row r="66" spans="1:19" ht="6.65" customHeight="1" x14ac:dyDescent="0.3">
      <c r="B66" s="49"/>
      <c r="C66" s="49"/>
      <c r="D66" s="49"/>
      <c r="E66" s="49"/>
      <c r="F66" s="49"/>
      <c r="G66" s="49"/>
      <c r="H66" s="48"/>
      <c r="I66" s="48"/>
      <c r="J66" s="49"/>
      <c r="K66" s="48"/>
      <c r="L66" s="48"/>
      <c r="M66" s="49"/>
      <c r="N66" s="48"/>
      <c r="O66" s="48"/>
      <c r="Q66" s="49"/>
      <c r="R66" s="49"/>
    </row>
    <row r="67" spans="1:19" x14ac:dyDescent="0.3">
      <c r="A67"/>
      <c r="B67" s="33"/>
      <c r="C67" s="34"/>
      <c r="D67" s="34"/>
      <c r="E67" s="34"/>
      <c r="F67" s="39" t="s">
        <v>6</v>
      </c>
      <c r="G67" s="40" t="s">
        <v>48</v>
      </c>
      <c r="H67" s="41" t="s">
        <v>7</v>
      </c>
      <c r="I67" s="54" t="s">
        <v>6</v>
      </c>
      <c r="J67" s="40" t="s">
        <v>48</v>
      </c>
      <c r="K67" s="41" t="s">
        <v>7</v>
      </c>
      <c r="L67" s="54" t="s">
        <v>6</v>
      </c>
      <c r="M67" s="40" t="s">
        <v>48</v>
      </c>
      <c r="N67" s="41" t="s">
        <v>7</v>
      </c>
      <c r="O67" s="36"/>
      <c r="Q67" s="39" t="s">
        <v>6</v>
      </c>
      <c r="R67" s="39" t="s">
        <v>240</v>
      </c>
    </row>
    <row r="68" spans="1:19" ht="12.5" x14ac:dyDescent="0.25">
      <c r="A68"/>
      <c r="B68" s="42" t="s">
        <v>40</v>
      </c>
      <c r="C68" s="42" t="s">
        <v>100</v>
      </c>
      <c r="D68" s="55"/>
      <c r="E68" s="42" t="s">
        <v>102</v>
      </c>
      <c r="F68" s="39">
        <f>+fietspaden!F56</f>
        <v>40257</v>
      </c>
      <c r="G68" s="43"/>
      <c r="H68" s="44">
        <f t="shared" si="26"/>
        <v>0</v>
      </c>
      <c r="I68" s="39">
        <f>+fietspaden!I56</f>
        <v>14200</v>
      </c>
      <c r="J68" s="43"/>
      <c r="K68" s="44">
        <f t="shared" ref="K68:K78" si="31">ROUNDUP(+J68*I68*I$6,-1)</f>
        <v>0</v>
      </c>
      <c r="L68" s="39">
        <f>+fietspaden!L56</f>
        <v>7100</v>
      </c>
      <c r="M68" s="43"/>
      <c r="N68" s="44">
        <f t="shared" ref="N68" si="32">ROUNDUP(+M68*L68*L$6,-1)</f>
        <v>0</v>
      </c>
      <c r="O68" s="48">
        <f t="shared" ref="O68:O69" si="33">+N68+K68+H68</f>
        <v>0</v>
      </c>
      <c r="Q68" s="39">
        <v>28350</v>
      </c>
      <c r="R68" s="45">
        <f>Q68*1.42</f>
        <v>40257</v>
      </c>
      <c r="S68" s="1">
        <f t="shared" ref="S68:S69" si="34">F68-R68</f>
        <v>0</v>
      </c>
    </row>
    <row r="69" spans="1:19" ht="12.5" x14ac:dyDescent="0.25">
      <c r="A69"/>
      <c r="B69" s="42" t="s">
        <v>41</v>
      </c>
      <c r="C69" s="42" t="s">
        <v>103</v>
      </c>
      <c r="D69" s="55"/>
      <c r="E69" s="42" t="s">
        <v>101</v>
      </c>
      <c r="F69" s="39">
        <f>+fietspaden!F57</f>
        <v>7100</v>
      </c>
      <c r="G69" s="43"/>
      <c r="H69" s="44">
        <f t="shared" si="26"/>
        <v>0</v>
      </c>
      <c r="I69" s="39">
        <f>+fietspaden!I57</f>
        <v>2840</v>
      </c>
      <c r="J69" s="43"/>
      <c r="K69" s="44">
        <f t="shared" si="31"/>
        <v>0</v>
      </c>
      <c r="L69" s="46"/>
      <c r="M69" s="46"/>
      <c r="N69" s="86"/>
      <c r="O69" s="48">
        <f t="shared" si="33"/>
        <v>0</v>
      </c>
      <c r="Q69" s="39">
        <v>5000</v>
      </c>
      <c r="R69" s="45">
        <f>Q69*1.42</f>
        <v>7100</v>
      </c>
      <c r="S69" s="1">
        <f t="shared" si="34"/>
        <v>0</v>
      </c>
    </row>
    <row r="70" spans="1:19" ht="6.65" customHeight="1" x14ac:dyDescent="0.3">
      <c r="B70" s="49"/>
      <c r="C70" s="49"/>
      <c r="D70" s="49"/>
      <c r="E70" s="49"/>
      <c r="F70" s="49"/>
      <c r="G70" s="49"/>
      <c r="H70" s="48"/>
      <c r="I70" s="48"/>
      <c r="J70" s="49"/>
      <c r="K70" s="48"/>
      <c r="L70" s="48"/>
      <c r="M70" s="49"/>
      <c r="N70" s="48"/>
      <c r="O70" s="48"/>
      <c r="Q70" s="49"/>
      <c r="R70" s="49"/>
    </row>
    <row r="71" spans="1:19" ht="12.5" x14ac:dyDescent="0.25">
      <c r="A71"/>
      <c r="B71" s="42" t="s">
        <v>108</v>
      </c>
      <c r="C71" s="42" t="s">
        <v>117</v>
      </c>
      <c r="D71" s="55"/>
      <c r="E71" s="42" t="s">
        <v>83</v>
      </c>
      <c r="F71" s="39">
        <f>+fietspaden!F59</f>
        <v>10309.199999999999</v>
      </c>
      <c r="G71" s="43"/>
      <c r="H71" s="44">
        <f t="shared" si="26"/>
        <v>0</v>
      </c>
      <c r="I71" s="39">
        <f>+fietspaden!I59</f>
        <v>5154.5999999999995</v>
      </c>
      <c r="J71" s="43"/>
      <c r="K71" s="44">
        <f t="shared" si="31"/>
        <v>0</v>
      </c>
      <c r="L71" s="39">
        <f>+fietspaden!L59</f>
        <v>1420</v>
      </c>
      <c r="M71" s="43"/>
      <c r="N71" s="44">
        <f t="shared" ref="N71:N78" si="35">ROUNDUP(+M71*L71*L$6,-1)</f>
        <v>0</v>
      </c>
      <c r="O71" s="48">
        <f t="shared" ref="O71" si="36">+N71+K71+H71</f>
        <v>0</v>
      </c>
      <c r="Q71" s="39">
        <v>7260</v>
      </c>
      <c r="R71" s="45">
        <f>Q71*1.42</f>
        <v>10309.199999999999</v>
      </c>
      <c r="S71" s="1">
        <f t="shared" ref="S71:S74" si="37">F71-R71</f>
        <v>0</v>
      </c>
    </row>
    <row r="72" spans="1:19" ht="12.5" x14ac:dyDescent="0.25">
      <c r="A72"/>
      <c r="B72" s="42" t="s">
        <v>109</v>
      </c>
      <c r="C72" s="56" t="s">
        <v>80</v>
      </c>
      <c r="D72" s="55"/>
      <c r="E72" s="42" t="s">
        <v>82</v>
      </c>
      <c r="F72" s="39">
        <f>+fietspaden!F60</f>
        <v>14711.199999999999</v>
      </c>
      <c r="G72" s="43"/>
      <c r="H72" s="44">
        <f t="shared" si="26"/>
        <v>0</v>
      </c>
      <c r="I72" s="39">
        <f>+fietspaden!I60</f>
        <v>7355.5999999999995</v>
      </c>
      <c r="J72" s="43"/>
      <c r="K72" s="44">
        <f t="shared" si="31"/>
        <v>0</v>
      </c>
      <c r="L72" s="39">
        <f>+fietspaden!L60</f>
        <v>2130</v>
      </c>
      <c r="M72" s="43"/>
      <c r="N72" s="44">
        <f t="shared" si="35"/>
        <v>0</v>
      </c>
      <c r="O72" s="48">
        <f>+N72+K72+H72</f>
        <v>0</v>
      </c>
      <c r="Q72" s="39">
        <v>10360</v>
      </c>
      <c r="R72" s="45">
        <f>Q72*1.42</f>
        <v>14711.199999999999</v>
      </c>
      <c r="S72" s="1">
        <f t="shared" si="37"/>
        <v>0</v>
      </c>
    </row>
    <row r="73" spans="1:19" ht="12.5" x14ac:dyDescent="0.25">
      <c r="A73"/>
      <c r="B73" s="42" t="s">
        <v>110</v>
      </c>
      <c r="C73" s="56" t="s">
        <v>76</v>
      </c>
      <c r="D73" s="55"/>
      <c r="E73" s="42" t="s">
        <v>84</v>
      </c>
      <c r="F73" s="39">
        <f>+fietspaden!F61</f>
        <v>15463.8</v>
      </c>
      <c r="G73" s="43"/>
      <c r="H73" s="44">
        <f t="shared" si="26"/>
        <v>0</v>
      </c>
      <c r="I73" s="39">
        <f>+fietspaden!I61</f>
        <v>7731.9</v>
      </c>
      <c r="J73" s="43"/>
      <c r="K73" s="44">
        <f t="shared" si="31"/>
        <v>0</v>
      </c>
      <c r="L73" s="39">
        <f>+fietspaden!L61</f>
        <v>2130</v>
      </c>
      <c r="M73" s="43"/>
      <c r="N73" s="44">
        <f t="shared" si="35"/>
        <v>0</v>
      </c>
      <c r="O73" s="48">
        <f>+N73+K73+H73</f>
        <v>0</v>
      </c>
      <c r="Q73" s="39">
        <v>10890</v>
      </c>
      <c r="R73" s="45">
        <f>Q73*1.42</f>
        <v>15463.8</v>
      </c>
      <c r="S73" s="1">
        <f t="shared" si="37"/>
        <v>0</v>
      </c>
    </row>
    <row r="74" spans="1:19" ht="12.5" x14ac:dyDescent="0.25">
      <c r="A74"/>
      <c r="B74" s="42" t="s">
        <v>111</v>
      </c>
      <c r="C74" s="56" t="s">
        <v>81</v>
      </c>
      <c r="D74" s="55"/>
      <c r="E74" s="42" t="s">
        <v>85</v>
      </c>
      <c r="F74" s="39">
        <f>+fietspaden!F62</f>
        <v>22066.799999999999</v>
      </c>
      <c r="G74" s="43"/>
      <c r="H74" s="44">
        <f t="shared" si="26"/>
        <v>0</v>
      </c>
      <c r="I74" s="39">
        <f>+fietspaden!I62</f>
        <v>11033.4</v>
      </c>
      <c r="J74" s="43"/>
      <c r="K74" s="44">
        <f t="shared" si="31"/>
        <v>0</v>
      </c>
      <c r="L74" s="39">
        <f>+fietspaden!L62</f>
        <v>2840</v>
      </c>
      <c r="M74" s="43"/>
      <c r="N74" s="44">
        <f t="shared" si="35"/>
        <v>0</v>
      </c>
      <c r="O74" s="48">
        <f>+N74+K74+H74</f>
        <v>0</v>
      </c>
      <c r="Q74" s="39">
        <v>15540</v>
      </c>
      <c r="R74" s="45">
        <f>Q74*1.42</f>
        <v>22066.799999999999</v>
      </c>
      <c r="S74" s="1">
        <f t="shared" si="37"/>
        <v>0</v>
      </c>
    </row>
    <row r="75" spans="1:19" ht="6.65" customHeight="1" x14ac:dyDescent="0.3">
      <c r="B75" s="49"/>
      <c r="C75" s="49"/>
      <c r="D75" s="49"/>
      <c r="E75" s="49"/>
      <c r="F75" s="49"/>
      <c r="G75" s="49"/>
      <c r="H75" s="48"/>
      <c r="I75" s="48"/>
      <c r="J75" s="49"/>
      <c r="K75" s="48"/>
      <c r="L75" s="48"/>
      <c r="M75" s="49"/>
      <c r="N75" s="48"/>
      <c r="O75" s="48"/>
      <c r="Q75" s="49"/>
      <c r="R75" s="49"/>
    </row>
    <row r="76" spans="1:19" ht="12.5" x14ac:dyDescent="0.25">
      <c r="A76"/>
      <c r="B76" s="42" t="s">
        <v>112</v>
      </c>
      <c r="C76" s="42" t="s">
        <v>118</v>
      </c>
      <c r="D76" s="55"/>
      <c r="E76" s="42" t="s">
        <v>77</v>
      </c>
      <c r="F76" s="39">
        <f>+fietspaden!F64</f>
        <v>11644</v>
      </c>
      <c r="G76" s="43"/>
      <c r="H76" s="44">
        <f t="shared" si="26"/>
        <v>0</v>
      </c>
      <c r="I76" s="39">
        <f>+fietspaden!I64</f>
        <v>9315.2000000000007</v>
      </c>
      <c r="J76" s="43"/>
      <c r="K76" s="44">
        <f t="shared" si="31"/>
        <v>0</v>
      </c>
      <c r="L76" s="39">
        <f>+fietspaden!L64</f>
        <v>2130</v>
      </c>
      <c r="M76" s="43"/>
      <c r="N76" s="44">
        <f t="shared" si="35"/>
        <v>0</v>
      </c>
      <c r="O76" s="48">
        <f t="shared" si="29"/>
        <v>0</v>
      </c>
      <c r="Q76" s="39">
        <v>8200</v>
      </c>
      <c r="R76" s="45">
        <f t="shared" ref="R76:R78" si="38">Q76*1.42</f>
        <v>11644</v>
      </c>
      <c r="S76" s="1">
        <f t="shared" ref="S76:S78" si="39">F76-R76</f>
        <v>0</v>
      </c>
    </row>
    <row r="77" spans="1:19" ht="12.5" x14ac:dyDescent="0.25">
      <c r="A77"/>
      <c r="B77" s="42" t="s">
        <v>113</v>
      </c>
      <c r="C77" s="56" t="s">
        <v>119</v>
      </c>
      <c r="D77" s="55"/>
      <c r="E77" s="42" t="s">
        <v>115</v>
      </c>
      <c r="F77" s="39">
        <f>+fietspaden!F65</f>
        <v>27945.599999999999</v>
      </c>
      <c r="G77" s="43"/>
      <c r="H77" s="44">
        <f t="shared" si="26"/>
        <v>0</v>
      </c>
      <c r="I77" s="39">
        <f>+fietspaden!I65</f>
        <v>19561.919999999998</v>
      </c>
      <c r="J77" s="43"/>
      <c r="K77" s="44">
        <f t="shared" si="31"/>
        <v>0</v>
      </c>
      <c r="L77" s="39">
        <f>+fietspaden!L65</f>
        <v>2840</v>
      </c>
      <c r="M77" s="43"/>
      <c r="N77" s="44">
        <f t="shared" si="35"/>
        <v>0</v>
      </c>
      <c r="O77" s="48">
        <f t="shared" si="29"/>
        <v>0</v>
      </c>
      <c r="Q77" s="39">
        <v>19680</v>
      </c>
      <c r="R77" s="45">
        <f t="shared" si="38"/>
        <v>27945.599999999999</v>
      </c>
      <c r="S77" s="1">
        <f t="shared" si="39"/>
        <v>0</v>
      </c>
    </row>
    <row r="78" spans="1:19" ht="12.5" x14ac:dyDescent="0.25">
      <c r="A78"/>
      <c r="B78" s="42" t="s">
        <v>180</v>
      </c>
      <c r="C78" s="42"/>
      <c r="D78" s="55"/>
      <c r="E78" s="42" t="s">
        <v>116</v>
      </c>
      <c r="F78" s="39">
        <f>+fietspaden!F66</f>
        <v>35613.599999999999</v>
      </c>
      <c r="G78" s="43"/>
      <c r="H78" s="44">
        <f t="shared" si="26"/>
        <v>0</v>
      </c>
      <c r="I78" s="39">
        <f>+fietspaden!I66</f>
        <v>24929.519999999997</v>
      </c>
      <c r="J78" s="43"/>
      <c r="K78" s="44">
        <f t="shared" si="31"/>
        <v>0</v>
      </c>
      <c r="L78" s="39">
        <f>+fietspaden!L66</f>
        <v>2840</v>
      </c>
      <c r="M78" s="43"/>
      <c r="N78" s="44">
        <f t="shared" si="35"/>
        <v>0</v>
      </c>
      <c r="O78" s="48">
        <f t="shared" si="29"/>
        <v>0</v>
      </c>
      <c r="Q78" s="39">
        <v>25080</v>
      </c>
      <c r="R78" s="45">
        <f t="shared" si="38"/>
        <v>35613.599999999999</v>
      </c>
      <c r="S78" s="1">
        <f t="shared" si="39"/>
        <v>0</v>
      </c>
    </row>
    <row r="79" spans="1:19" ht="6.65" customHeight="1" x14ac:dyDescent="0.3">
      <c r="B79" s="49"/>
      <c r="C79" s="49"/>
      <c r="D79" s="49"/>
      <c r="E79" s="49"/>
      <c r="F79" s="49"/>
      <c r="G79" s="49"/>
      <c r="H79" s="48"/>
      <c r="I79" s="48"/>
      <c r="J79" s="49"/>
      <c r="K79" s="48"/>
      <c r="L79" s="48"/>
      <c r="M79" s="49"/>
      <c r="N79" s="48"/>
      <c r="O79" s="48"/>
    </row>
    <row r="80" spans="1:19" x14ac:dyDescent="0.3">
      <c r="B80" s="40"/>
      <c r="C80" s="57" t="s">
        <v>170</v>
      </c>
      <c r="D80" s="40"/>
      <c r="E80" s="40"/>
      <c r="F80" s="40"/>
      <c r="G80" s="40"/>
      <c r="H80" s="54">
        <f>SUM(H8:H79)</f>
        <v>0</v>
      </c>
      <c r="I80" s="40"/>
      <c r="J80" s="40"/>
      <c r="K80" s="54">
        <f>SUM(K8:K79)</f>
        <v>0</v>
      </c>
      <c r="L80" s="40"/>
      <c r="M80" s="40"/>
      <c r="N80" s="54">
        <f>SUM(N8:N79)</f>
        <v>0</v>
      </c>
      <c r="O80" s="53">
        <f>+O44+O33+O22+O7</f>
        <v>0</v>
      </c>
    </row>
    <row r="81" spans="1:15" hidden="1" x14ac:dyDescent="0.3">
      <c r="B81" s="58"/>
      <c r="C81" s="58" t="s">
        <v>169</v>
      </c>
      <c r="D81" s="59"/>
      <c r="E81" s="58"/>
      <c r="F81" s="39"/>
      <c r="G81" s="58"/>
      <c r="H81" s="39">
        <f>+H80*$M$2</f>
        <v>0</v>
      </c>
      <c r="I81" s="39"/>
      <c r="J81" s="58"/>
      <c r="K81" s="39">
        <f>+K80*$M$2</f>
        <v>0</v>
      </c>
      <c r="L81" s="39"/>
      <c r="M81" s="58"/>
      <c r="N81" s="39">
        <f>+N80*$M$2</f>
        <v>0</v>
      </c>
      <c r="O81" s="39">
        <f>+O80*$M$2</f>
        <v>0</v>
      </c>
    </row>
    <row r="82" spans="1:15" hidden="1" x14ac:dyDescent="0.3">
      <c r="B82" s="58"/>
      <c r="C82" s="61" t="s">
        <v>98</v>
      </c>
      <c r="D82" s="62"/>
      <c r="E82" s="61"/>
      <c r="F82" s="63"/>
      <c r="G82" s="61"/>
      <c r="H82" s="39">
        <f>+H81+H80</f>
        <v>0</v>
      </c>
      <c r="I82" s="39"/>
      <c r="J82" s="58"/>
      <c r="K82" s="39">
        <f>+K81+K80</f>
        <v>0</v>
      </c>
      <c r="L82" s="39"/>
      <c r="M82" s="58"/>
      <c r="N82" s="39">
        <f>+N81+N80</f>
        <v>0</v>
      </c>
      <c r="O82" s="63">
        <f>+O81+O80</f>
        <v>0</v>
      </c>
    </row>
    <row r="83" spans="1:15" x14ac:dyDescent="0.3">
      <c r="I83"/>
      <c r="L83"/>
    </row>
    <row r="85" spans="1:15" x14ac:dyDescent="0.3">
      <c r="A85" s="2" t="s">
        <v>128</v>
      </c>
      <c r="B85" s="65" t="s">
        <v>201</v>
      </c>
      <c r="C85" s="65"/>
      <c r="D85" s="65" t="s">
        <v>99</v>
      </c>
      <c r="E85" s="65"/>
      <c r="F85" s="65"/>
      <c r="G85" s="112" t="s">
        <v>9</v>
      </c>
      <c r="H85" s="112"/>
      <c r="I85" s="67"/>
      <c r="J85" s="113" t="s">
        <v>47</v>
      </c>
      <c r="K85" s="113"/>
      <c r="L85" s="67"/>
      <c r="M85" s="113" t="s">
        <v>10</v>
      </c>
      <c r="N85" s="113"/>
      <c r="O85" s="68" t="s">
        <v>46</v>
      </c>
    </row>
    <row r="86" spans="1:15" x14ac:dyDescent="0.3">
      <c r="B86" s="71"/>
      <c r="C86" s="71"/>
      <c r="D86" s="71"/>
      <c r="E86" s="71"/>
      <c r="F86" s="71"/>
      <c r="G86" s="71" t="s">
        <v>49</v>
      </c>
      <c r="H86" s="71" t="s">
        <v>7</v>
      </c>
      <c r="I86" s="67" t="s">
        <v>6</v>
      </c>
      <c r="J86" s="71" t="s">
        <v>49</v>
      </c>
      <c r="K86" s="71" t="s">
        <v>7</v>
      </c>
      <c r="L86" s="67" t="s">
        <v>6</v>
      </c>
      <c r="M86" s="71" t="s">
        <v>49</v>
      </c>
      <c r="N86" s="71" t="s">
        <v>7</v>
      </c>
      <c r="O86" s="89">
        <f>SUM(O87:O101)</f>
        <v>0</v>
      </c>
    </row>
    <row r="87" spans="1:15" x14ac:dyDescent="0.3">
      <c r="B87" t="s">
        <v>222</v>
      </c>
      <c r="C87" s="43" t="s">
        <v>217</v>
      </c>
      <c r="D87" s="38"/>
      <c r="E87" s="43"/>
      <c r="G87" s="43"/>
      <c r="H87" s="90">
        <v>0</v>
      </c>
      <c r="J87" s="43"/>
      <c r="K87" s="90">
        <v>0</v>
      </c>
      <c r="M87" s="43"/>
      <c r="N87" s="90">
        <v>0</v>
      </c>
      <c r="O87" s="48">
        <f t="shared" ref="O87:O100" si="40">+N87+K87+H87</f>
        <v>0</v>
      </c>
    </row>
    <row r="88" spans="1:15" x14ac:dyDescent="0.3">
      <c r="B88" t="s">
        <v>223</v>
      </c>
      <c r="C88" s="43" t="s">
        <v>218</v>
      </c>
      <c r="D88" s="38"/>
      <c r="E88" s="43"/>
      <c r="G88" s="43"/>
      <c r="H88" s="90">
        <v>0</v>
      </c>
      <c r="J88" s="43"/>
      <c r="K88" s="90">
        <v>0</v>
      </c>
      <c r="M88" s="43"/>
      <c r="N88" s="90">
        <v>0</v>
      </c>
      <c r="O88" s="48">
        <f t="shared" si="40"/>
        <v>0</v>
      </c>
    </row>
    <row r="89" spans="1:15" x14ac:dyDescent="0.3">
      <c r="B89" t="s">
        <v>224</v>
      </c>
      <c r="C89" s="43"/>
      <c r="D89" s="38"/>
      <c r="E89" s="43"/>
      <c r="G89" s="43"/>
      <c r="H89" s="90">
        <v>0</v>
      </c>
      <c r="J89" s="43"/>
      <c r="K89" s="90">
        <v>0</v>
      </c>
      <c r="M89" s="43"/>
      <c r="N89" s="90">
        <v>0</v>
      </c>
      <c r="O89" s="48">
        <f t="shared" si="40"/>
        <v>0</v>
      </c>
    </row>
    <row r="90" spans="1:15" x14ac:dyDescent="0.3">
      <c r="B90" t="s">
        <v>225</v>
      </c>
      <c r="C90" s="43" t="s">
        <v>129</v>
      </c>
      <c r="D90" s="38"/>
      <c r="E90" s="43"/>
      <c r="G90" s="43"/>
      <c r="H90" s="90">
        <v>0</v>
      </c>
      <c r="J90" s="43"/>
      <c r="K90" s="90">
        <v>0</v>
      </c>
      <c r="M90" s="43"/>
      <c r="N90" s="90">
        <v>0</v>
      </c>
      <c r="O90" s="48">
        <f t="shared" si="40"/>
        <v>0</v>
      </c>
    </row>
    <row r="91" spans="1:15" x14ac:dyDescent="0.3">
      <c r="B91" t="s">
        <v>226</v>
      </c>
      <c r="C91" s="43" t="s">
        <v>203</v>
      </c>
      <c r="D91" s="38"/>
      <c r="E91" s="43"/>
      <c r="G91" s="43"/>
      <c r="H91" s="90">
        <v>0</v>
      </c>
      <c r="J91" s="43"/>
      <c r="K91" s="90">
        <v>0</v>
      </c>
      <c r="M91" s="43"/>
      <c r="N91" s="90">
        <v>0</v>
      </c>
      <c r="O91" s="48">
        <f t="shared" si="40"/>
        <v>0</v>
      </c>
    </row>
    <row r="92" spans="1:15" ht="12.5" x14ac:dyDescent="0.25">
      <c r="A92"/>
      <c r="B92" t="s">
        <v>227</v>
      </c>
      <c r="C92" s="43" t="s">
        <v>204</v>
      </c>
      <c r="D92" s="38"/>
      <c r="E92" s="43"/>
      <c r="G92" s="43"/>
      <c r="H92" s="90">
        <v>0</v>
      </c>
      <c r="J92" s="43"/>
      <c r="K92" s="90">
        <v>0</v>
      </c>
      <c r="M92" s="43"/>
      <c r="N92" s="90">
        <v>0</v>
      </c>
      <c r="O92" s="48">
        <f t="shared" si="40"/>
        <v>0</v>
      </c>
    </row>
    <row r="93" spans="1:15" ht="12.5" x14ac:dyDescent="0.25">
      <c r="A93"/>
      <c r="B93" t="s">
        <v>228</v>
      </c>
      <c r="C93" s="43"/>
      <c r="D93" s="38"/>
      <c r="E93" s="43"/>
      <c r="G93" s="43"/>
      <c r="H93" s="90">
        <v>0</v>
      </c>
      <c r="J93" s="43"/>
      <c r="K93" s="90">
        <v>0</v>
      </c>
      <c r="M93" s="43"/>
      <c r="N93" s="90">
        <v>0</v>
      </c>
      <c r="O93" s="48">
        <f t="shared" ref="O93:O95" si="41">+N93+K93+H93</f>
        <v>0</v>
      </c>
    </row>
    <row r="94" spans="1:15" ht="12.5" x14ac:dyDescent="0.25">
      <c r="A94"/>
      <c r="B94" t="s">
        <v>229</v>
      </c>
      <c r="C94" s="43"/>
      <c r="D94" s="38"/>
      <c r="E94" s="43"/>
      <c r="G94" s="43"/>
      <c r="H94" s="90">
        <v>0</v>
      </c>
      <c r="J94" s="43"/>
      <c r="K94" s="90">
        <v>0</v>
      </c>
      <c r="M94" s="43"/>
      <c r="N94" s="90">
        <v>0</v>
      </c>
      <c r="O94" s="48">
        <f t="shared" si="41"/>
        <v>0</v>
      </c>
    </row>
    <row r="95" spans="1:15" ht="12.5" x14ac:dyDescent="0.25">
      <c r="A95"/>
      <c r="B95" t="s">
        <v>230</v>
      </c>
      <c r="C95" s="43" t="s">
        <v>50</v>
      </c>
      <c r="D95" s="38"/>
      <c r="E95" s="43"/>
      <c r="G95" s="43"/>
      <c r="H95" s="90">
        <v>0</v>
      </c>
      <c r="J95" s="43"/>
      <c r="K95" s="90">
        <v>0</v>
      </c>
      <c r="M95" s="43"/>
      <c r="N95" s="90">
        <v>0</v>
      </c>
      <c r="O95" s="48">
        <f t="shared" si="41"/>
        <v>0</v>
      </c>
    </row>
    <row r="96" spans="1:15" ht="6.65" customHeight="1" x14ac:dyDescent="0.3">
      <c r="B96" s="49"/>
      <c r="C96" s="49"/>
      <c r="D96" s="49"/>
      <c r="E96" s="49"/>
      <c r="F96" s="49"/>
      <c r="G96" s="49"/>
      <c r="H96" s="48"/>
      <c r="I96" s="48"/>
      <c r="J96" s="49"/>
      <c r="K96" s="48"/>
      <c r="L96" s="48"/>
      <c r="M96" s="49"/>
      <c r="N96" s="48"/>
      <c r="O96" s="48"/>
    </row>
    <row r="97" spans="1:15" ht="12.5" x14ac:dyDescent="0.25">
      <c r="A97"/>
      <c r="B97" t="s">
        <v>231</v>
      </c>
      <c r="C97" t="s">
        <v>50</v>
      </c>
      <c r="G97" s="43"/>
      <c r="H97" s="90">
        <v>0</v>
      </c>
      <c r="J97" s="43"/>
      <c r="K97" s="90">
        <v>0</v>
      </c>
      <c r="M97" s="43"/>
      <c r="N97" s="90">
        <v>0</v>
      </c>
      <c r="O97" s="48">
        <f t="shared" si="40"/>
        <v>0</v>
      </c>
    </row>
    <row r="98" spans="1:15" ht="12.5" x14ac:dyDescent="0.25">
      <c r="A98"/>
      <c r="B98" t="s">
        <v>232</v>
      </c>
      <c r="C98" t="s">
        <v>86</v>
      </c>
      <c r="G98" s="43"/>
      <c r="H98" s="90">
        <v>0</v>
      </c>
      <c r="J98" s="43"/>
      <c r="K98" s="90">
        <v>0</v>
      </c>
      <c r="M98" s="43"/>
      <c r="N98" s="90">
        <v>0</v>
      </c>
      <c r="O98" s="48">
        <f t="shared" si="40"/>
        <v>0</v>
      </c>
    </row>
    <row r="99" spans="1:15" ht="12.5" x14ac:dyDescent="0.25">
      <c r="A99"/>
      <c r="B99" t="s">
        <v>233</v>
      </c>
      <c r="C99" t="s">
        <v>79</v>
      </c>
      <c r="G99" s="43"/>
      <c r="H99" s="90">
        <v>0</v>
      </c>
      <c r="J99" s="43"/>
      <c r="K99" s="90">
        <v>0</v>
      </c>
      <c r="M99" s="43"/>
      <c r="N99" s="90">
        <v>0</v>
      </c>
      <c r="O99" s="48">
        <f t="shared" si="40"/>
        <v>0</v>
      </c>
    </row>
    <row r="100" spans="1:15" ht="12.5" x14ac:dyDescent="0.25">
      <c r="A100"/>
      <c r="B100" t="s">
        <v>234</v>
      </c>
      <c r="C100" t="s">
        <v>78</v>
      </c>
      <c r="G100" s="43"/>
      <c r="H100" s="90">
        <v>0</v>
      </c>
      <c r="J100" s="43"/>
      <c r="K100" s="90">
        <v>0</v>
      </c>
      <c r="M100" s="43"/>
      <c r="N100" s="90">
        <v>0</v>
      </c>
      <c r="O100" s="48">
        <f t="shared" si="40"/>
        <v>0</v>
      </c>
    </row>
    <row r="101" spans="1:15" ht="6.65" customHeight="1" x14ac:dyDescent="0.25">
      <c r="A101"/>
      <c r="B101" s="49"/>
      <c r="C101" s="49"/>
      <c r="D101" s="49"/>
      <c r="E101" s="49"/>
      <c r="F101" s="49"/>
      <c r="G101" s="49"/>
      <c r="H101" s="48"/>
      <c r="I101" s="48"/>
      <c r="J101" s="49"/>
      <c r="K101" s="48"/>
      <c r="L101" s="48"/>
      <c r="M101" s="49"/>
      <c r="N101" s="48"/>
      <c r="O101" s="48"/>
    </row>
    <row r="102" spans="1:15" x14ac:dyDescent="0.3">
      <c r="A102"/>
      <c r="B102" s="58"/>
      <c r="C102" s="61" t="s">
        <v>97</v>
      </c>
      <c r="D102" s="59"/>
      <c r="E102" s="58"/>
      <c r="F102" s="73"/>
      <c r="G102" s="74"/>
      <c r="H102" s="91">
        <f>SUM(H87:H101)</f>
        <v>0</v>
      </c>
      <c r="I102" s="91"/>
      <c r="J102" s="92"/>
      <c r="K102" s="91">
        <f>SUM(K87:K101)</f>
        <v>0</v>
      </c>
      <c r="L102" s="91"/>
      <c r="M102" s="92"/>
      <c r="N102" s="91">
        <f>SUM(N87:N101)</f>
        <v>0</v>
      </c>
      <c r="O102" s="91">
        <f>SUM(O87:O101)</f>
        <v>0</v>
      </c>
    </row>
    <row r="104" spans="1:15" s="4" customFormat="1" ht="27" customHeight="1" x14ac:dyDescent="0.25">
      <c r="A104" s="77"/>
      <c r="B104" s="78"/>
      <c r="C104" s="79" t="s">
        <v>202</v>
      </c>
      <c r="D104" s="80"/>
      <c r="E104" s="78"/>
      <c r="F104" s="81"/>
      <c r="G104" s="82"/>
      <c r="H104" s="84">
        <f>+H102+H82</f>
        <v>0</v>
      </c>
      <c r="I104" s="84"/>
      <c r="J104" s="85"/>
      <c r="K104" s="84">
        <f>+K102+K82</f>
        <v>0</v>
      </c>
      <c r="L104" s="84"/>
      <c r="M104" s="85"/>
      <c r="N104" s="84">
        <f>+N102+N82</f>
        <v>0</v>
      </c>
      <c r="O104" s="84">
        <f>+O102+O82</f>
        <v>0</v>
      </c>
    </row>
  </sheetData>
  <sheetProtection sheet="1" objects="1" scenarios="1" selectLockedCells="1"/>
  <mergeCells count="15">
    <mergeCell ref="G85:H85"/>
    <mergeCell ref="J85:K85"/>
    <mergeCell ref="M85:N85"/>
    <mergeCell ref="G6:H6"/>
    <mergeCell ref="J6:K6"/>
    <mergeCell ref="M6:N6"/>
    <mergeCell ref="G32:H32"/>
    <mergeCell ref="J32:K32"/>
    <mergeCell ref="M32:N32"/>
    <mergeCell ref="G43:H43"/>
    <mergeCell ref="J43:K43"/>
    <mergeCell ref="M43:N43"/>
    <mergeCell ref="G62:H62"/>
    <mergeCell ref="J62:K62"/>
    <mergeCell ref="M62:N62"/>
  </mergeCells>
  <dataValidations disablePrompts="1" count="2">
    <dataValidation type="list" allowBlank="1" showInputMessage="1" showErrorMessage="1" sqref="E33 E44" xr:uid="{00000000-0002-0000-0300-000000000000}">
      <formula1>"elementverharding, asfalt"</formula1>
    </dataValidation>
    <dataValidation type="list" allowBlank="1" showInputMessage="1" showErrorMessage="1" sqref="M3:M4" xr:uid="{00000000-0002-0000-0300-000001000000}">
      <formula1>"ja,nee"</formula1>
    </dataValidation>
  </dataValidations>
  <pageMargins left="0.25" right="0.25" top="0.75" bottom="0.75" header="0.3" footer="0.3"/>
  <pageSetup paperSize="9" scale="57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4</vt:i4>
      </vt:variant>
      <vt:variant>
        <vt:lpstr>Benoemde bereiken</vt:lpstr>
      </vt:variant>
      <vt:variant>
        <vt:i4>4</vt:i4>
      </vt:variant>
    </vt:vector>
  </HeadingPairs>
  <TitlesOfParts>
    <vt:vector size="8" baseType="lpstr">
      <vt:lpstr>Macro</vt:lpstr>
      <vt:lpstr>haltes</vt:lpstr>
      <vt:lpstr>fietspaden</vt:lpstr>
      <vt:lpstr>duurzaam veilig</vt:lpstr>
      <vt:lpstr>'duurzaam veilig'!Afdrukbereik</vt:lpstr>
      <vt:lpstr>fietspaden!Afdrukbereik</vt:lpstr>
      <vt:lpstr>haltes!Afdrukbereik</vt:lpstr>
      <vt:lpstr>Index_tov_2018</vt:lpstr>
    </vt:vector>
  </TitlesOfParts>
  <Company>Royal Haskoning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 Antoine</dc:creator>
  <cp:lastModifiedBy>Maartje Stevens</cp:lastModifiedBy>
  <cp:lastPrinted>2018-06-19T15:20:40Z</cp:lastPrinted>
  <dcterms:created xsi:type="dcterms:W3CDTF">2018-05-14T11:28:21Z</dcterms:created>
  <dcterms:modified xsi:type="dcterms:W3CDTF">2025-10-16T09:52:29Z</dcterms:modified>
</cp:coreProperties>
</file>